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01"/>
  <workbookPr defaultThemeVersion="124226"/>
  <bookViews>
    <workbookView xWindow="65428" yWindow="65428" windowWidth="23256" windowHeight="12576" activeTab="3"/>
  </bookViews>
  <sheets>
    <sheet name="Samples of Mushrooms" sheetId="1" r:id="rId1"/>
    <sheet name="Cs-137 Calibration" sheetId="2" r:id="rId2"/>
    <sheet name="List1" sheetId="8" state="hidden" r:id="rId3"/>
    <sheet name="K-40 Calibration" sheetId="3" r:id="rId4"/>
    <sheet name="Selfabsorption" sheetId="4" r:id="rId5"/>
    <sheet name="Results" sheetId="6" r:id="rId6"/>
    <sheet name="Complete Results" sheetId="7" r:id="rId7"/>
  </sheets>
  <definedNames/>
  <calcPr calcId="191028"/>
  <extLst/>
</workbook>
</file>

<file path=xl/sharedStrings.xml><?xml version="1.0" encoding="utf-8"?>
<sst xmlns="http://schemas.openxmlformats.org/spreadsheetml/2006/main" count="329" uniqueCount="106">
  <si>
    <t>Live time (s)</t>
  </si>
  <si>
    <t>Russula ochroleuca</t>
  </si>
  <si>
    <t>Beskydy</t>
  </si>
  <si>
    <t>Amanita muscaria</t>
  </si>
  <si>
    <t>Xerocomus badius</t>
  </si>
  <si>
    <t>Armillariella mellea</t>
  </si>
  <si>
    <t xml:space="preserve"> Armillariella mellea</t>
  </si>
  <si>
    <t>-</t>
  </si>
  <si>
    <t>Volume (ml)</t>
  </si>
  <si>
    <t>Height (mm)</t>
  </si>
  <si>
    <t>Activity (Bq)</t>
  </si>
  <si>
    <t>Live Time (s)</t>
  </si>
  <si>
    <t>s</t>
  </si>
  <si>
    <t>R-R0</t>
  </si>
  <si>
    <t>Effekt</t>
  </si>
  <si>
    <t>Locality</t>
  </si>
  <si>
    <t>Species</t>
  </si>
  <si>
    <t>Part of fruitbody</t>
  </si>
  <si>
    <t>DF (Cap)</t>
  </si>
  <si>
    <t>DF (Stipe)</t>
  </si>
  <si>
    <t>DF</t>
  </si>
  <si>
    <t>Cs Ratio (caps/stipes)</t>
  </si>
  <si>
    <t>K Ratio (caps/stipes)</t>
  </si>
  <si>
    <t>Cs Ratio Location</t>
  </si>
  <si>
    <t>K Ratio Location</t>
  </si>
  <si>
    <t>137Cs</t>
  </si>
  <si>
    <t>40K</t>
  </si>
  <si>
    <t>Opava</t>
  </si>
  <si>
    <t>Cap</t>
  </si>
  <si>
    <t>caps</t>
  </si>
  <si>
    <t>Stipe</t>
  </si>
  <si>
    <t>stipes</t>
  </si>
  <si>
    <t>A (Bq/kg)</t>
  </si>
  <si>
    <t>u (Bq/kg)</t>
  </si>
  <si>
    <t>u (Cs Ratio)</t>
  </si>
  <si>
    <t>u (K Ratio)</t>
  </si>
  <si>
    <t>Opava area</t>
  </si>
  <si>
    <t>Ostravice river valley</t>
  </si>
  <si>
    <t>A Cs (Bq/kg)</t>
  </si>
  <si>
    <t>A K (Bq/kg)</t>
  </si>
  <si>
    <t>Cs/K (Cap)</t>
  </si>
  <si>
    <t>Cs/K (Stipe)</t>
  </si>
  <si>
    <t>Cs/K Ratio</t>
  </si>
  <si>
    <t>u (Cs/K Cap)</t>
  </si>
  <si>
    <t>u (Cs/K Stipe)</t>
  </si>
  <si>
    <t>Cs-137</t>
  </si>
  <si>
    <t>K-40</t>
  </si>
  <si>
    <t>Gamma Emission</t>
  </si>
  <si>
    <t>Cs-137 (662 keV)</t>
  </si>
  <si>
    <t>Half-life (Days)</t>
  </si>
  <si>
    <t>Mass (g)</t>
  </si>
  <si>
    <t>Latin Name</t>
  </si>
  <si>
    <t>Part</t>
  </si>
  <si>
    <t>stipe</t>
  </si>
  <si>
    <t>cap</t>
  </si>
  <si>
    <t>Ostravice</t>
  </si>
  <si>
    <t xml:space="preserve">Ostravice </t>
  </si>
  <si>
    <t>Background</t>
  </si>
  <si>
    <t>Measurement date</t>
  </si>
  <si>
    <t>Area (662 keV)</t>
  </si>
  <si>
    <t>Count Rate (662 keV)</t>
  </si>
  <si>
    <t>Uncertainty of Area (662 keV)</t>
  </si>
  <si>
    <t>Photopeak Efficiency (662 keV)</t>
  </si>
  <si>
    <t>Uncertainty (Bq)</t>
  </si>
  <si>
    <t>Uncertainty (Bq/kg)</t>
  </si>
  <si>
    <t>Err (%)</t>
  </si>
  <si>
    <t>Weight uncertainty (g)</t>
  </si>
  <si>
    <t>Activity of K-40 (Bq) at date of collection</t>
  </si>
  <si>
    <t>Activity of Cs-137 (Bq) at date of collection</t>
  </si>
  <si>
    <t>Specific Activity Bq/kg</t>
  </si>
  <si>
    <t>Measurement time</t>
  </si>
  <si>
    <t>Selfabsorption of samples on coaxial detector for 662 keV</t>
  </si>
  <si>
    <t>Number of Vial</t>
  </si>
  <si>
    <t>Peak Area</t>
  </si>
  <si>
    <t>Uncertainty</t>
  </si>
  <si>
    <t>Count Rate</t>
  </si>
  <si>
    <t>No sample</t>
  </si>
  <si>
    <r>
      <t>u</t>
    </r>
    <r>
      <rPr>
        <b/>
        <vertAlign val="sub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(Bq/kg)</t>
    </r>
  </si>
  <si>
    <t>Photopeak Calibration - Height dependent</t>
  </si>
  <si>
    <t>Calibration Sources with liquid Cs-137 (662 keV)</t>
  </si>
  <si>
    <t>Photopeak Efficiency</t>
  </si>
  <si>
    <t>Calibration Source No.</t>
  </si>
  <si>
    <t>Uncertainty (g)</t>
  </si>
  <si>
    <t>Peak Area (1461 keV)</t>
  </si>
  <si>
    <t>K-40 (1461 keV)</t>
  </si>
  <si>
    <t>Area (1461 keV)</t>
  </si>
  <si>
    <t>Uncertainty of Area (1461 keV)</t>
  </si>
  <si>
    <t>Count Rate (1461 keV)</t>
  </si>
  <si>
    <t>Photopeak Efficiency (1461 keV)</t>
  </si>
  <si>
    <t>Count Rate gross (cps)</t>
  </si>
  <si>
    <t>Count Rate netto (cps)</t>
  </si>
  <si>
    <t>Molar Weight (KCl) g/mol</t>
  </si>
  <si>
    <t>Molar Weight (K) g/mol</t>
  </si>
  <si>
    <t>Half-life K-40 (y)</t>
  </si>
  <si>
    <t>Abundance</t>
  </si>
  <si>
    <t>u (y)</t>
  </si>
  <si>
    <t>u</t>
  </si>
  <si>
    <t>Avogadro Constant 1/mol</t>
  </si>
  <si>
    <t>Number of K-40 Atoms (N0)</t>
  </si>
  <si>
    <t>Uncertainty N0</t>
  </si>
  <si>
    <t>Activity K-40 (Bq)</t>
  </si>
  <si>
    <t>Uncertainty A (Bq)</t>
  </si>
  <si>
    <t>Evaluation</t>
  </si>
  <si>
    <t>seconds/year</t>
  </si>
  <si>
    <t>Calibration Sources with solid powder of KCl (1461 keV)</t>
  </si>
  <si>
    <t>highest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</si>
</sst>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"/>
    <numFmt numFmtId="165" formatCode="0.000"/>
    <numFmt numFmtId="166" formatCode="0.000000"/>
    <numFmt numFmtId="167" formatCode="0.00000"/>
    <numFmt numFmtId="168" formatCode="0.000E+00"/>
    <numFmt numFmtId="169" formatCode="0.0000000"/>
    <numFmt numFmtId="170" formatCode="0.00000000000000%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vertAlign val="subscript"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rgb="FFFF0000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/>
    </border>
    <border>
      <left/>
      <right/>
      <top style="double"/>
      <bottom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2" borderId="0" xfId="0" applyFont="1" applyFill="1" applyAlignment="1">
      <alignment horizontal="center"/>
    </xf>
    <xf numFmtId="11" fontId="2" fillId="2" borderId="0" xfId="0" applyNumberFormat="1" applyFont="1" applyFill="1" applyAlignment="1">
      <alignment horizontal="center"/>
    </xf>
    <xf numFmtId="10" fontId="2" fillId="2" borderId="0" xfId="0" applyNumberFormat="1" applyFont="1" applyFill="1" applyAlignment="1">
      <alignment horizontal="center"/>
    </xf>
    <xf numFmtId="1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1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0" fontId="2" fillId="0" borderId="0" xfId="0" applyNumberFormat="1" applyFont="1"/>
    <xf numFmtId="16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9" fontId="2" fillId="0" borderId="0" xfId="0" applyNumberFormat="1" applyFont="1"/>
    <xf numFmtId="164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9" fillId="0" borderId="0" xfId="0" applyFont="1"/>
    <xf numFmtId="170" fontId="2" fillId="0" borderId="0" xfId="0" applyNumberFormat="1" applyFont="1" applyAlignment="1">
      <alignment horizontal="center"/>
    </xf>
    <xf numFmtId="10" fontId="10" fillId="0" borderId="0" xfId="0" applyNumberFormat="1" applyFont="1" applyAlignment="1">
      <alignment horizontal="center"/>
    </xf>
    <xf numFmtId="0" fontId="6" fillId="0" borderId="0" xfId="0" applyFont="1"/>
    <xf numFmtId="1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165" fontId="2" fillId="4" borderId="4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4" fontId="2" fillId="5" borderId="0" xfId="0" applyNumberFormat="1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5" fontId="2" fillId="5" borderId="0" xfId="0" applyNumberFormat="1" applyFont="1" applyFill="1" applyBorder="1" applyAlignment="1">
      <alignment horizontal="center" vertical="center"/>
    </xf>
    <xf numFmtId="165" fontId="2" fillId="5" borderId="3" xfId="0" applyNumberFormat="1" applyFont="1" applyFill="1" applyBorder="1" applyAlignment="1">
      <alignment horizontal="center" vertical="center"/>
    </xf>
    <xf numFmtId="165" fontId="2" fillId="5" borderId="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Photopeak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Efficiency of 662 keV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'Cs-137 Calibration'!$J$4</c:f>
              <c:strCache>
                <c:ptCount val="1"/>
                <c:pt idx="0">
                  <c:v>Photopeak Efficiency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Pt>
            <c:idx val="0"/>
            <c:spPr>
              <a:ln w="19050" cap="rnd">
                <a:solidFill>
                  <a:schemeClr val="accent1"/>
                </a:solidFill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-0.2825"/>
                  <c:y val="-0.0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xVal>
            <c:numRef>
              <c:f>'Cs-137 Calibration'!$A$5:$A$8</c:f>
              <c:numCache/>
            </c:numRef>
          </c:xVal>
          <c:yVal>
            <c:numRef>
              <c:f>'Cs-137 Calibration'!$J$5:$J$8</c:f>
              <c:numCache/>
            </c:numRef>
          </c:yVal>
          <c:smooth val="1"/>
        </c:ser>
        <c:axId val="64603881"/>
        <c:axId val="44564018"/>
      </c:scatterChart>
      <c:valAx>
        <c:axId val="64603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Height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564018"/>
        <c:crosses val="autoZero"/>
        <c:crossBetween val="midCat"/>
        <c:dispUnits/>
      </c:valAx>
      <c:valAx>
        <c:axId val="44564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Efficiency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00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6038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Photopeak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Efficiency 1461 keV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'K-40 Calibration'!$A$1</c:f>
              <c:strCache>
                <c:ptCount val="1"/>
                <c:pt idx="0">
                  <c:v>K-40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Pt>
            <c:idx val="0"/>
            <c:spPr>
              <a:ln w="19050" cap="rnd">
                <a:solidFill>
                  <a:schemeClr val="accent1"/>
                </a:solidFill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-0.2795"/>
                  <c:y val="-0.05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xVal>
            <c:numRef>
              <c:f>'K-40 Calibration'!$E$13:$E$15</c:f>
              <c:numCache/>
            </c:numRef>
          </c:xVal>
          <c:yVal>
            <c:numRef>
              <c:f>'K-40 Calibration'!$J$13:$J$15</c:f>
              <c:numCache/>
            </c:numRef>
          </c:yVal>
          <c:smooth val="1"/>
        </c:ser>
        <c:axId val="65531843"/>
        <c:axId val="52915676"/>
      </c:scatterChart>
      <c:valAx>
        <c:axId val="6553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Height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915676"/>
        <c:crosses val="autoZero"/>
        <c:crossBetween val="midCat"/>
        <c:dispUnits/>
      </c:valAx>
      <c:valAx>
        <c:axId val="5291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Efficiency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000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5318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Correlation between Cs/K ratios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in caps and stipes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Results!$K$20:$K$25</c:f>
              <c:numCache/>
            </c:numRef>
          </c:xVal>
          <c:yVal>
            <c:numRef>
              <c:f>Results!$J$20:$J$25</c:f>
              <c:numCache/>
            </c:numRef>
          </c:yVal>
          <c:smooth val="0"/>
        </c:ser>
        <c:axId val="6479037"/>
        <c:axId val="58311334"/>
      </c:scatterChart>
      <c:valAx>
        <c:axId val="647903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Caps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311334"/>
        <c:crosses val="autoZero"/>
        <c:crossBetween val="midCat"/>
        <c:dispUnits/>
      </c:valAx>
      <c:valAx>
        <c:axId val="5831133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Stipes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790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9</xdr:row>
      <xdr:rowOff>57150</xdr:rowOff>
    </xdr:from>
    <xdr:to>
      <xdr:col>7</xdr:col>
      <xdr:colOff>676275</xdr:colOff>
      <xdr:row>30</xdr:row>
      <xdr:rowOff>66675</xdr:rowOff>
    </xdr:to>
    <xdr:graphicFrame macro="">
      <xdr:nvGraphicFramePr>
        <xdr:cNvPr id="4" name="Diagramm 3"/>
        <xdr:cNvGraphicFramePr/>
      </xdr:nvGraphicFramePr>
      <xdr:xfrm>
        <a:off x="390525" y="1981200"/>
        <a:ext cx="63912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17</xdr:row>
      <xdr:rowOff>38100</xdr:rowOff>
    </xdr:from>
    <xdr:to>
      <xdr:col>10</xdr:col>
      <xdr:colOff>76200</xdr:colOff>
      <xdr:row>36</xdr:row>
      <xdr:rowOff>28575</xdr:rowOff>
    </xdr:to>
    <xdr:graphicFrame macro="">
      <xdr:nvGraphicFramePr>
        <xdr:cNvPr id="2" name="Diagramm 1"/>
        <xdr:cNvGraphicFramePr/>
      </xdr:nvGraphicFramePr>
      <xdr:xfrm>
        <a:off x="3695700" y="3724275"/>
        <a:ext cx="61531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15</xdr:row>
      <xdr:rowOff>85725</xdr:rowOff>
    </xdr:from>
    <xdr:to>
      <xdr:col>8</xdr:col>
      <xdr:colOff>219075</xdr:colOff>
      <xdr:row>44</xdr:row>
      <xdr:rowOff>104775</xdr:rowOff>
    </xdr:to>
    <xdr:graphicFrame macro="">
      <xdr:nvGraphicFramePr>
        <xdr:cNvPr id="3" name="Diagramm 2"/>
        <xdr:cNvGraphicFramePr/>
      </xdr:nvGraphicFramePr>
      <xdr:xfrm>
        <a:off x="266700" y="3028950"/>
        <a:ext cx="72390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7"/>
  <sheetViews>
    <sheetView showGridLines="0" zoomScale="80" zoomScaleNormal="80" workbookViewId="0" topLeftCell="I1"/>
  </sheetViews>
  <sheetFormatPr defaultColWidth="11.57421875" defaultRowHeight="15"/>
  <cols>
    <col min="1" max="1" width="19.421875" style="1" customWidth="1"/>
    <col min="2" max="2" width="16.421875" style="1" customWidth="1"/>
    <col min="3" max="3" width="16.57421875" style="1" customWidth="1"/>
    <col min="4" max="4" width="21.140625" style="1" customWidth="1"/>
    <col min="5" max="5" width="11.57421875" style="1" customWidth="1"/>
    <col min="6" max="6" width="16.57421875" style="1" customWidth="1"/>
    <col min="7" max="7" width="20.57421875" style="2" customWidth="1"/>
    <col min="8" max="8" width="13.421875" style="1" customWidth="1"/>
    <col min="9" max="9" width="17.00390625" style="1" customWidth="1"/>
    <col min="10" max="10" width="16.57421875" style="1" customWidth="1"/>
    <col min="11" max="11" width="14.7109375" style="3" customWidth="1"/>
    <col min="12" max="12" width="13.00390625" style="1" customWidth="1"/>
    <col min="13" max="13" width="14.7109375" style="3" customWidth="1"/>
    <col min="14" max="14" width="18.140625" style="3" customWidth="1"/>
    <col min="15" max="15" width="13.57421875" style="1" customWidth="1"/>
    <col min="16" max="16" width="18.421875" style="1" customWidth="1"/>
    <col min="17" max="16384" width="11.57421875" style="1" customWidth="1"/>
  </cols>
  <sheetData>
    <row r="1" ht="22.5">
      <c r="A1" s="58" t="s">
        <v>45</v>
      </c>
    </row>
    <row r="2" ht="15">
      <c r="M2" s="2"/>
    </row>
    <row r="3" spans="1:17" s="53" customFormat="1" ht="46.5">
      <c r="A3" s="53" t="s">
        <v>72</v>
      </c>
      <c r="B3" s="53" t="s">
        <v>9</v>
      </c>
      <c r="C3" s="53" t="s">
        <v>50</v>
      </c>
      <c r="D3" s="53" t="s">
        <v>51</v>
      </c>
      <c r="E3" s="53" t="s">
        <v>52</v>
      </c>
      <c r="F3" s="53" t="s">
        <v>15</v>
      </c>
      <c r="G3" s="56" t="s">
        <v>58</v>
      </c>
      <c r="H3" s="53" t="s">
        <v>0</v>
      </c>
      <c r="I3" s="53" t="s">
        <v>59</v>
      </c>
      <c r="J3" s="53" t="s">
        <v>61</v>
      </c>
      <c r="K3" s="57" t="s">
        <v>60</v>
      </c>
      <c r="L3" s="53" t="s">
        <v>62</v>
      </c>
      <c r="M3" s="57" t="s">
        <v>68</v>
      </c>
      <c r="N3" s="57" t="s">
        <v>63</v>
      </c>
      <c r="O3" s="53" t="s">
        <v>69</v>
      </c>
      <c r="P3" s="53" t="s">
        <v>64</v>
      </c>
      <c r="Q3" s="53" t="s">
        <v>65</v>
      </c>
    </row>
    <row r="4" spans="1:17" ht="15">
      <c r="A4" s="1">
        <v>3</v>
      </c>
      <c r="B4" s="1">
        <v>13</v>
      </c>
      <c r="C4" s="1">
        <v>0.75</v>
      </c>
      <c r="D4" s="1" t="s">
        <v>1</v>
      </c>
      <c r="E4" s="1" t="s">
        <v>53</v>
      </c>
      <c r="F4" s="55" t="s">
        <v>55</v>
      </c>
      <c r="G4" s="2">
        <v>42654</v>
      </c>
      <c r="H4" s="1">
        <v>70593.49</v>
      </c>
      <c r="I4" s="1">
        <v>1475</v>
      </c>
      <c r="J4" s="1">
        <v>42</v>
      </c>
      <c r="K4" s="3">
        <f aca="true" t="shared" si="0" ref="K4:K15">I4/H4</f>
        <v>0.02089427792846054</v>
      </c>
      <c r="L4" s="16">
        <v>0.146889803</v>
      </c>
      <c r="M4" s="3">
        <v>0.18762533657122796</v>
      </c>
      <c r="N4" s="21">
        <f aca="true" t="shared" si="1" ref="N4:N15">SQRT((J4/(H4*$B$43*L4))^2)</f>
        <v>0.004759522989137076</v>
      </c>
      <c r="O4" s="3">
        <f>(M4/C4)*1000</f>
        <v>250.16711542830393</v>
      </c>
      <c r="P4" s="3">
        <f aca="true" t="shared" si="2" ref="P4:P15">SQRT((N4/C4)^2+((M4*$A$47)/C4^2)^2)*1000</f>
        <v>7.169245135939569</v>
      </c>
      <c r="Q4" s="8">
        <f>P4/O4</f>
        <v>0.0286578238857066</v>
      </c>
    </row>
    <row r="5" spans="1:17" ht="15">
      <c r="A5" s="1">
        <v>6</v>
      </c>
      <c r="B5" s="1">
        <v>16</v>
      </c>
      <c r="C5" s="1">
        <v>1.07</v>
      </c>
      <c r="D5" s="1" t="s">
        <v>1</v>
      </c>
      <c r="E5" s="1" t="s">
        <v>54</v>
      </c>
      <c r="F5" s="55" t="s">
        <v>27</v>
      </c>
      <c r="G5" s="2">
        <v>42662</v>
      </c>
      <c r="H5" s="1">
        <v>69045.69</v>
      </c>
      <c r="I5" s="1">
        <v>70228</v>
      </c>
      <c r="J5" s="1">
        <v>309.5</v>
      </c>
      <c r="K5" s="3">
        <f t="shared" si="0"/>
        <v>1.017123588742469</v>
      </c>
      <c r="L5" s="16">
        <v>0.143003312</v>
      </c>
      <c r="M5" s="3">
        <v>9.386462497091669</v>
      </c>
      <c r="N5" s="21">
        <f t="shared" si="1"/>
        <v>0.036833960942771485</v>
      </c>
      <c r="O5" s="3">
        <f aca="true" t="shared" si="3" ref="O5:O15">(M5/C5)*1000</f>
        <v>8772.394857095018</v>
      </c>
      <c r="P5" s="3">
        <f t="shared" si="2"/>
        <v>88.91889483702411</v>
      </c>
      <c r="Q5" s="8">
        <f aca="true" t="shared" si="4" ref="Q5:Q15">P5/O5</f>
        <v>0.01013621665298245</v>
      </c>
    </row>
    <row r="6" spans="1:17" ht="15">
      <c r="A6" s="1">
        <v>7</v>
      </c>
      <c r="B6" s="1">
        <v>17</v>
      </c>
      <c r="C6" s="1">
        <v>1.19</v>
      </c>
      <c r="D6" s="1" t="s">
        <v>1</v>
      </c>
      <c r="E6" s="1" t="s">
        <v>54</v>
      </c>
      <c r="F6" s="55" t="s">
        <v>55</v>
      </c>
      <c r="G6" s="2">
        <v>42653</v>
      </c>
      <c r="H6" s="1">
        <v>90756.79</v>
      </c>
      <c r="I6" s="1">
        <v>4716</v>
      </c>
      <c r="J6" s="1">
        <v>77</v>
      </c>
      <c r="K6" s="3">
        <f t="shared" si="0"/>
        <v>0.05196305422437264</v>
      </c>
      <c r="L6" s="16">
        <v>0.141570483</v>
      </c>
      <c r="M6" s="3">
        <v>0.48411707664287323</v>
      </c>
      <c r="N6" s="21">
        <f t="shared" si="1"/>
        <v>0.007042215721514783</v>
      </c>
      <c r="O6" s="3">
        <f t="shared" si="3"/>
        <v>406.8210728091372</v>
      </c>
      <c r="P6" s="3">
        <f t="shared" si="2"/>
        <v>6.834322134635912</v>
      </c>
      <c r="Q6" s="8">
        <f t="shared" si="4"/>
        <v>0.016799331675334036</v>
      </c>
    </row>
    <row r="7" spans="1:17" ht="15">
      <c r="A7" s="1">
        <v>12</v>
      </c>
      <c r="B7" s="1">
        <v>11</v>
      </c>
      <c r="C7" s="1">
        <v>0.64</v>
      </c>
      <c r="D7" s="1" t="s">
        <v>1</v>
      </c>
      <c r="E7" s="1" t="s">
        <v>53</v>
      </c>
      <c r="F7" s="55" t="s">
        <v>27</v>
      </c>
      <c r="G7" s="2">
        <v>42661</v>
      </c>
      <c r="H7" s="1">
        <v>76662.14</v>
      </c>
      <c r="I7" s="1">
        <v>22123</v>
      </c>
      <c r="J7" s="1">
        <v>149.5</v>
      </c>
      <c r="K7" s="3">
        <f t="shared" si="0"/>
        <v>0.2885779082086673</v>
      </c>
      <c r="L7" s="16">
        <v>0.149137467</v>
      </c>
      <c r="M7" s="3">
        <v>2.5534262462601136</v>
      </c>
      <c r="N7" s="21">
        <f t="shared" si="1"/>
        <v>0.015365402163793613</v>
      </c>
      <c r="O7" s="3">
        <f t="shared" si="3"/>
        <v>3989.7285097814274</v>
      </c>
      <c r="P7" s="3">
        <f t="shared" si="2"/>
        <v>66.80284041036754</v>
      </c>
      <c r="Q7" s="8">
        <f t="shared" si="4"/>
        <v>0.016743705805192056</v>
      </c>
    </row>
    <row r="8" spans="1:17" ht="15">
      <c r="A8" s="1">
        <v>4</v>
      </c>
      <c r="B8" s="15">
        <v>12</v>
      </c>
      <c r="C8" s="1">
        <v>0.82</v>
      </c>
      <c r="D8" s="1" t="s">
        <v>4</v>
      </c>
      <c r="E8" s="1" t="s">
        <v>54</v>
      </c>
      <c r="F8" s="55" t="s">
        <v>55</v>
      </c>
      <c r="G8" s="2">
        <v>42648</v>
      </c>
      <c r="H8" s="1">
        <v>75570.39</v>
      </c>
      <c r="I8" s="1">
        <v>2983</v>
      </c>
      <c r="J8" s="1">
        <v>57.5</v>
      </c>
      <c r="K8" s="3">
        <f t="shared" si="0"/>
        <v>0.039473132267810185</v>
      </c>
      <c r="L8" s="16">
        <v>0.148047968</v>
      </c>
      <c r="M8" s="3">
        <v>0.3515531464570626</v>
      </c>
      <c r="N8" s="21">
        <f t="shared" si="1"/>
        <v>0.006039266160963921</v>
      </c>
      <c r="O8" s="3">
        <f t="shared" si="3"/>
        <v>428.72334933788125</v>
      </c>
      <c r="P8" s="3">
        <f t="shared" si="2"/>
        <v>9.032058935946814</v>
      </c>
      <c r="Q8" s="8">
        <f t="shared" si="4"/>
        <v>0.021067336196864232</v>
      </c>
    </row>
    <row r="9" spans="1:17" ht="15">
      <c r="A9" s="1">
        <v>5</v>
      </c>
      <c r="B9" s="15">
        <v>10</v>
      </c>
      <c r="C9" s="1">
        <v>0.66</v>
      </c>
      <c r="D9" s="1" t="s">
        <v>4</v>
      </c>
      <c r="E9" s="1" t="s">
        <v>53</v>
      </c>
      <c r="F9" s="55" t="s">
        <v>55</v>
      </c>
      <c r="G9" s="2">
        <v>42648</v>
      </c>
      <c r="H9" s="1">
        <v>83431.76</v>
      </c>
      <c r="I9" s="1">
        <v>2501</v>
      </c>
      <c r="J9" s="1">
        <v>53</v>
      </c>
      <c r="K9" s="3">
        <f t="shared" si="0"/>
        <v>0.029976594045241285</v>
      </c>
      <c r="L9" s="16">
        <v>0.1501583</v>
      </c>
      <c r="M9" s="3">
        <v>0.2632235816017312</v>
      </c>
      <c r="N9" s="21">
        <f t="shared" si="1"/>
        <v>0.004971249513939808</v>
      </c>
      <c r="O9" s="3">
        <f t="shared" si="3"/>
        <v>398.8236084874715</v>
      </c>
      <c r="P9" s="3">
        <f t="shared" si="2"/>
        <v>9.656562211905213</v>
      </c>
      <c r="Q9" s="8">
        <f t="shared" si="4"/>
        <v>0.024212614314702886</v>
      </c>
    </row>
    <row r="10" spans="1:17" ht="15">
      <c r="A10" s="1">
        <v>13</v>
      </c>
      <c r="B10" s="15">
        <v>14</v>
      </c>
      <c r="C10" s="1">
        <v>0.91</v>
      </c>
      <c r="D10" s="1" t="s">
        <v>4</v>
      </c>
      <c r="E10" s="1" t="s">
        <v>54</v>
      </c>
      <c r="F10" s="55" t="s">
        <v>27</v>
      </c>
      <c r="G10" s="2">
        <v>42660</v>
      </c>
      <c r="H10" s="1">
        <v>12490.27</v>
      </c>
      <c r="I10" s="1">
        <v>14815</v>
      </c>
      <c r="J10" s="1">
        <v>122</v>
      </c>
      <c r="K10" s="3">
        <f t="shared" si="0"/>
        <v>1.1861232783598752</v>
      </c>
      <c r="L10" s="16">
        <v>0.145662972</v>
      </c>
      <c r="M10" s="3">
        <v>10.744849653551961</v>
      </c>
      <c r="N10" s="21">
        <f t="shared" si="1"/>
        <v>0.07879692637148283</v>
      </c>
      <c r="O10" s="3">
        <f t="shared" si="3"/>
        <v>11807.527091815342</v>
      </c>
      <c r="P10" s="3">
        <f t="shared" si="2"/>
        <v>155.99258250438436</v>
      </c>
      <c r="Q10" s="8">
        <f t="shared" si="4"/>
        <v>0.013211283047786881</v>
      </c>
    </row>
    <row r="11" spans="1:17" ht="15">
      <c r="A11" s="1">
        <v>15</v>
      </c>
      <c r="B11" s="15">
        <v>8</v>
      </c>
      <c r="C11" s="1">
        <v>0.74</v>
      </c>
      <c r="D11" s="1" t="s">
        <v>4</v>
      </c>
      <c r="E11" s="1" t="s">
        <v>53</v>
      </c>
      <c r="F11" s="55" t="s">
        <v>27</v>
      </c>
      <c r="G11" s="2">
        <v>42660</v>
      </c>
      <c r="H11" s="1">
        <v>65201.24</v>
      </c>
      <c r="I11" s="1">
        <v>57968</v>
      </c>
      <c r="J11" s="1">
        <v>272</v>
      </c>
      <c r="K11" s="3">
        <f t="shared" si="0"/>
        <v>0.8890628460440323</v>
      </c>
      <c r="L11" s="16">
        <v>0.151993968</v>
      </c>
      <c r="M11" s="3">
        <v>7.718373469459287</v>
      </c>
      <c r="N11" s="21">
        <f t="shared" si="1"/>
        <v>0.03225203598870916</v>
      </c>
      <c r="O11" s="3">
        <f t="shared" si="3"/>
        <v>10430.234418188225</v>
      </c>
      <c r="P11" s="3">
        <f t="shared" si="2"/>
        <v>147.53373552411853</v>
      </c>
      <c r="Q11" s="8">
        <f t="shared" si="4"/>
        <v>0.014144814930223374</v>
      </c>
    </row>
    <row r="12" spans="1:17" ht="15">
      <c r="A12" s="1">
        <v>1</v>
      </c>
      <c r="B12" s="15">
        <v>13</v>
      </c>
      <c r="C12" s="1">
        <v>0.88</v>
      </c>
      <c r="D12" s="1" t="s">
        <v>5</v>
      </c>
      <c r="E12" s="1" t="s">
        <v>53</v>
      </c>
      <c r="F12" s="55" t="s">
        <v>55</v>
      </c>
      <c r="G12" s="2">
        <v>42664</v>
      </c>
      <c r="H12" s="1">
        <v>230234.34</v>
      </c>
      <c r="I12" s="1">
        <v>1471</v>
      </c>
      <c r="J12" s="1">
        <v>45</v>
      </c>
      <c r="K12" s="3">
        <f t="shared" si="0"/>
        <v>0.0063891424711014005</v>
      </c>
      <c r="L12" s="16">
        <v>0.146889803</v>
      </c>
      <c r="M12" s="3">
        <v>0.05740898669590505</v>
      </c>
      <c r="N12" s="21">
        <f t="shared" si="1"/>
        <v>0.0015635839547766465</v>
      </c>
      <c r="O12" s="3">
        <f t="shared" si="3"/>
        <v>65.23748488171029</v>
      </c>
      <c r="P12" s="3">
        <f t="shared" si="2"/>
        <v>1.9252521190364884</v>
      </c>
      <c r="Q12" s="8">
        <f t="shared" si="4"/>
        <v>0.02951143997239299</v>
      </c>
    </row>
    <row r="13" spans="1:17" ht="15">
      <c r="A13" s="1">
        <v>2</v>
      </c>
      <c r="B13" s="15">
        <v>10</v>
      </c>
      <c r="C13" s="1">
        <v>0.72</v>
      </c>
      <c r="D13" s="1" t="s">
        <v>5</v>
      </c>
      <c r="E13" s="1" t="s">
        <v>54</v>
      </c>
      <c r="F13" s="55" t="s">
        <v>27</v>
      </c>
      <c r="G13" s="2">
        <v>42655</v>
      </c>
      <c r="H13" s="1">
        <v>82751.81</v>
      </c>
      <c r="I13" s="1">
        <v>1472</v>
      </c>
      <c r="J13" s="1">
        <v>41</v>
      </c>
      <c r="K13" s="3">
        <f t="shared" si="0"/>
        <v>0.01778813055569419</v>
      </c>
      <c r="L13" s="16">
        <v>0.1501583</v>
      </c>
      <c r="M13" s="3">
        <v>0.1562658397340042</v>
      </c>
      <c r="N13" s="21">
        <f t="shared" si="1"/>
        <v>0.003877282563419379</v>
      </c>
      <c r="O13" s="3">
        <f t="shared" si="3"/>
        <v>217.0358885194503</v>
      </c>
      <c r="P13" s="3">
        <f t="shared" si="2"/>
        <v>6.171384857805687</v>
      </c>
      <c r="Q13" s="8">
        <f t="shared" si="4"/>
        <v>0.028434858860923454</v>
      </c>
    </row>
    <row r="14" spans="1:17" ht="15">
      <c r="A14" s="1">
        <v>14</v>
      </c>
      <c r="B14" s="1">
        <v>16</v>
      </c>
      <c r="C14" s="1">
        <v>0.98</v>
      </c>
      <c r="D14" s="1" t="s">
        <v>5</v>
      </c>
      <c r="E14" s="1" t="s">
        <v>53</v>
      </c>
      <c r="F14" s="55" t="s">
        <v>27</v>
      </c>
      <c r="G14" s="2">
        <v>42656</v>
      </c>
      <c r="H14" s="1">
        <v>85970.17</v>
      </c>
      <c r="I14" s="1">
        <v>931</v>
      </c>
      <c r="J14" s="1">
        <v>36</v>
      </c>
      <c r="K14" s="3">
        <f t="shared" si="0"/>
        <v>0.01082933766444803</v>
      </c>
      <c r="L14" s="16">
        <v>0.143003312</v>
      </c>
      <c r="M14" s="3">
        <v>0.0999001644828499</v>
      </c>
      <c r="N14" s="21">
        <f t="shared" si="1"/>
        <v>0.003440955523925545</v>
      </c>
      <c r="O14" s="3">
        <f t="shared" si="3"/>
        <v>101.93894334984684</v>
      </c>
      <c r="P14" s="3">
        <f t="shared" si="2"/>
        <v>3.6620186803234005</v>
      </c>
      <c r="Q14" s="8">
        <f t="shared" si="4"/>
        <v>0.035923647626556476</v>
      </c>
    </row>
    <row r="15" spans="1:17" ht="15">
      <c r="A15" s="1">
        <v>16</v>
      </c>
      <c r="B15" s="1">
        <v>12</v>
      </c>
      <c r="C15" s="1">
        <v>0.77</v>
      </c>
      <c r="D15" s="1" t="s">
        <v>6</v>
      </c>
      <c r="E15" s="1" t="s">
        <v>54</v>
      </c>
      <c r="F15" s="55" t="s">
        <v>56</v>
      </c>
      <c r="G15" s="2">
        <v>42670</v>
      </c>
      <c r="H15" s="1">
        <v>313061.37</v>
      </c>
      <c r="I15" s="1">
        <v>1697</v>
      </c>
      <c r="J15" s="1">
        <v>47.5</v>
      </c>
      <c r="K15" s="3">
        <f t="shared" si="0"/>
        <v>0.0054206624087794674</v>
      </c>
      <c r="L15" s="16">
        <v>0.148047968</v>
      </c>
      <c r="M15" s="3">
        <v>0.04834402236763146</v>
      </c>
      <c r="N15" s="21">
        <f t="shared" si="1"/>
        <v>0.0012042928755969225</v>
      </c>
      <c r="O15" s="3">
        <f t="shared" si="3"/>
        <v>62.78444463328761</v>
      </c>
      <c r="P15" s="3">
        <f t="shared" si="2"/>
        <v>1.763801791585696</v>
      </c>
      <c r="Q15" s="8">
        <f t="shared" si="4"/>
        <v>0.028092974332858046</v>
      </c>
    </row>
    <row r="16" ht="15">
      <c r="F16" s="55"/>
    </row>
    <row r="17" ht="15">
      <c r="F17" s="55"/>
    </row>
    <row r="18" spans="6:15" ht="15">
      <c r="F18" s="55"/>
      <c r="O18" s="3"/>
    </row>
    <row r="19" spans="1:6" ht="22.5">
      <c r="A19" s="58" t="s">
        <v>46</v>
      </c>
      <c r="F19" s="55"/>
    </row>
    <row r="20" ht="15">
      <c r="F20" s="55"/>
    </row>
    <row r="21" spans="1:17" s="53" customFormat="1" ht="35.25">
      <c r="A21" s="53" t="s">
        <v>72</v>
      </c>
      <c r="B21" s="53" t="s">
        <v>9</v>
      </c>
      <c r="C21" s="53" t="s">
        <v>50</v>
      </c>
      <c r="D21" s="53" t="s">
        <v>51</v>
      </c>
      <c r="E21" s="53" t="s">
        <v>52</v>
      </c>
      <c r="F21" s="53" t="s">
        <v>15</v>
      </c>
      <c r="G21" s="56" t="s">
        <v>58</v>
      </c>
      <c r="H21" s="53" t="s">
        <v>0</v>
      </c>
      <c r="I21" s="53" t="s">
        <v>85</v>
      </c>
      <c r="J21" s="53" t="s">
        <v>86</v>
      </c>
      <c r="K21" s="57" t="s">
        <v>87</v>
      </c>
      <c r="L21" s="53" t="s">
        <v>88</v>
      </c>
      <c r="M21" s="57" t="s">
        <v>67</v>
      </c>
      <c r="N21" s="57" t="s">
        <v>63</v>
      </c>
      <c r="O21" s="53" t="s">
        <v>69</v>
      </c>
      <c r="P21" s="53" t="s">
        <v>64</v>
      </c>
      <c r="Q21" s="53" t="s">
        <v>65</v>
      </c>
    </row>
    <row r="22" spans="1:17" ht="15">
      <c r="A22" s="1" t="s">
        <v>57</v>
      </c>
      <c r="B22" s="1" t="s">
        <v>7</v>
      </c>
      <c r="C22" s="1" t="s">
        <v>7</v>
      </c>
      <c r="D22" s="1" t="s">
        <v>7</v>
      </c>
      <c r="E22" s="1" t="s">
        <v>7</v>
      </c>
      <c r="F22" s="55" t="s">
        <v>7</v>
      </c>
      <c r="G22" s="2">
        <v>42688</v>
      </c>
      <c r="H22" s="1">
        <v>890624.31</v>
      </c>
      <c r="I22" s="1">
        <v>2567</v>
      </c>
      <c r="J22" s="1">
        <v>57</v>
      </c>
      <c r="K22" s="3">
        <f aca="true" t="shared" si="5" ref="K22:K38">I22/H22</f>
        <v>0.0028822478470186827</v>
      </c>
      <c r="L22" s="16" t="s">
        <v>7</v>
      </c>
      <c r="M22" s="6" t="s">
        <v>7</v>
      </c>
      <c r="N22" s="1" t="s">
        <v>7</v>
      </c>
      <c r="O22" s="1" t="s">
        <v>7</v>
      </c>
      <c r="P22" s="1" t="s">
        <v>7</v>
      </c>
      <c r="Q22" s="1" t="s">
        <v>7</v>
      </c>
    </row>
    <row r="23" spans="1:17" ht="15">
      <c r="A23" s="1">
        <v>3</v>
      </c>
      <c r="B23" s="1">
        <v>13</v>
      </c>
      <c r="C23" s="1">
        <v>0.75</v>
      </c>
      <c r="D23" s="1" t="s">
        <v>1</v>
      </c>
      <c r="E23" s="1" t="s">
        <v>53</v>
      </c>
      <c r="F23" s="55" t="s">
        <v>55</v>
      </c>
      <c r="G23" s="2">
        <v>42654</v>
      </c>
      <c r="H23" s="1">
        <v>70593.49</v>
      </c>
      <c r="I23" s="1">
        <v>554</v>
      </c>
      <c r="J23" s="1">
        <v>25</v>
      </c>
      <c r="K23" s="3">
        <f t="shared" si="5"/>
        <v>0.00784774913380823</v>
      </c>
      <c r="L23" s="16">
        <v>0.06449972</v>
      </c>
      <c r="M23" s="3">
        <f aca="true" t="shared" si="6" ref="M23:M38">(K23-$K$22)/($B$44*L23)</f>
        <v>0.7221843365108459</v>
      </c>
      <c r="N23" s="21">
        <f aca="true" t="shared" si="7" ref="N23:N38">SQRT((J23/(H23*$B$44*L23))^2)</f>
        <v>0.051506296265419305</v>
      </c>
      <c r="O23" s="3">
        <f aca="true" t="shared" si="8" ref="O23:O38">(M23/C23)*1000</f>
        <v>962.9124486811279</v>
      </c>
      <c r="P23" s="3">
        <f aca="true" t="shared" si="9" ref="P23:P38">SQRT((N23/C23)^2+((M23*$A$47)/C23^2)^2)*1000</f>
        <v>69.86486757688293</v>
      </c>
      <c r="Q23" s="8">
        <f aca="true" t="shared" si="10" ref="Q23:Q38">P23/O23</f>
        <v>0.07255578393713231</v>
      </c>
    </row>
    <row r="24" spans="1:17" ht="15">
      <c r="A24" s="1">
        <v>6</v>
      </c>
      <c r="B24" s="1">
        <v>16</v>
      </c>
      <c r="C24" s="1">
        <v>1.07</v>
      </c>
      <c r="D24" s="1" t="s">
        <v>1</v>
      </c>
      <c r="E24" s="1" t="s">
        <v>54</v>
      </c>
      <c r="F24" s="55" t="s">
        <v>27</v>
      </c>
      <c r="G24" s="2">
        <v>42662</v>
      </c>
      <c r="H24" s="1">
        <v>69045.69</v>
      </c>
      <c r="I24" s="1">
        <v>768</v>
      </c>
      <c r="J24" s="1">
        <v>29</v>
      </c>
      <c r="K24" s="3">
        <f t="shared" si="5"/>
        <v>0.01112306937623478</v>
      </c>
      <c r="L24" s="16">
        <v>0.06432214</v>
      </c>
      <c r="M24" s="3">
        <f t="shared" si="6"/>
        <v>1.201857060379396</v>
      </c>
      <c r="N24" s="21">
        <f t="shared" si="7"/>
        <v>0.06125530888778152</v>
      </c>
      <c r="O24" s="3">
        <f t="shared" si="8"/>
        <v>1123.2308975508374</v>
      </c>
      <c r="P24" s="3">
        <f t="shared" si="9"/>
        <v>58.202450348194375</v>
      </c>
      <c r="Q24" s="8">
        <f t="shared" si="10"/>
        <v>0.051816995486059565</v>
      </c>
    </row>
    <row r="25" spans="1:17" ht="15">
      <c r="A25" s="1">
        <v>7</v>
      </c>
      <c r="B25" s="1">
        <v>17</v>
      </c>
      <c r="C25" s="1">
        <v>1.19</v>
      </c>
      <c r="D25" s="1" t="s">
        <v>1</v>
      </c>
      <c r="E25" s="1" t="s">
        <v>54</v>
      </c>
      <c r="F25" s="55" t="s">
        <v>55</v>
      </c>
      <c r="G25" s="2">
        <v>42653</v>
      </c>
      <c r="H25" s="1">
        <v>90756.79</v>
      </c>
      <c r="I25" s="1">
        <v>1073</v>
      </c>
      <c r="J25" s="1">
        <v>34</v>
      </c>
      <c r="K25" s="3">
        <f t="shared" si="5"/>
        <v>0.011822806866571637</v>
      </c>
      <c r="L25" s="16">
        <v>0.06538762</v>
      </c>
      <c r="M25" s="3">
        <f t="shared" si="6"/>
        <v>1.2826611468362858</v>
      </c>
      <c r="N25" s="21">
        <f t="shared" si="7"/>
        <v>0.053746112330543085</v>
      </c>
      <c r="O25" s="3">
        <f t="shared" si="8"/>
        <v>1077.8665099464588</v>
      </c>
      <c r="P25" s="3">
        <f t="shared" si="9"/>
        <v>46.06409822606772</v>
      </c>
      <c r="Q25" s="8">
        <f t="shared" si="10"/>
        <v>0.04273636651755316</v>
      </c>
    </row>
    <row r="26" spans="1:17" ht="15">
      <c r="A26" s="1">
        <v>12</v>
      </c>
      <c r="B26" s="1">
        <v>11</v>
      </c>
      <c r="C26" s="1">
        <v>0.64</v>
      </c>
      <c r="D26" s="1" t="s">
        <v>1</v>
      </c>
      <c r="E26" s="1" t="s">
        <v>53</v>
      </c>
      <c r="F26" s="55" t="s">
        <v>27</v>
      </c>
      <c r="G26" s="2">
        <v>42661</v>
      </c>
      <c r="H26" s="1">
        <v>76662.14</v>
      </c>
      <c r="I26" s="1">
        <v>549</v>
      </c>
      <c r="J26" s="1">
        <v>25</v>
      </c>
      <c r="K26" s="3">
        <f t="shared" si="5"/>
        <v>0.0071612923928291074</v>
      </c>
      <c r="L26" s="16">
        <v>0.06432214</v>
      </c>
      <c r="M26" s="3">
        <f t="shared" si="6"/>
        <v>0.6240639820711432</v>
      </c>
      <c r="N26" s="21">
        <f t="shared" si="7"/>
        <v>0.04755994905294402</v>
      </c>
      <c r="O26" s="3">
        <f t="shared" si="8"/>
        <v>975.0999719861612</v>
      </c>
      <c r="P26" s="3">
        <f t="shared" si="9"/>
        <v>75.85822040598191</v>
      </c>
      <c r="Q26" s="8">
        <f t="shared" si="10"/>
        <v>0.07779532620790446</v>
      </c>
    </row>
    <row r="27" spans="1:17" ht="15">
      <c r="A27" s="1">
        <v>8</v>
      </c>
      <c r="B27" s="1">
        <v>17</v>
      </c>
      <c r="C27" s="1">
        <v>1.05</v>
      </c>
      <c r="D27" s="1" t="s">
        <v>3</v>
      </c>
      <c r="E27" s="1" t="s">
        <v>53</v>
      </c>
      <c r="F27" s="55" t="s">
        <v>55</v>
      </c>
      <c r="G27" s="2">
        <v>42650</v>
      </c>
      <c r="H27" s="1">
        <v>236956.87</v>
      </c>
      <c r="I27" s="1">
        <v>1132</v>
      </c>
      <c r="J27" s="1">
        <v>36</v>
      </c>
      <c r="K27" s="3">
        <f t="shared" si="5"/>
        <v>0.0047772406851930484</v>
      </c>
      <c r="L27" s="16">
        <v>0.06449972</v>
      </c>
      <c r="M27" s="3">
        <f t="shared" si="6"/>
        <v>0.2756084565259648</v>
      </c>
      <c r="N27" s="21">
        <f t="shared" si="7"/>
        <v>0.022096229001099983</v>
      </c>
      <c r="O27" s="3">
        <f t="shared" si="8"/>
        <v>262.48424431044265</v>
      </c>
      <c r="P27" s="3">
        <f t="shared" si="9"/>
        <v>21.19198783094487</v>
      </c>
      <c r="Q27" s="8">
        <f t="shared" si="10"/>
        <v>0.08073622813672923</v>
      </c>
    </row>
    <row r="28" spans="1:17" ht="15">
      <c r="A28" s="1">
        <v>9</v>
      </c>
      <c r="B28" s="1">
        <v>16</v>
      </c>
      <c r="C28" s="1">
        <v>0.84</v>
      </c>
      <c r="D28" s="1" t="s">
        <v>3</v>
      </c>
      <c r="E28" s="1" t="s">
        <v>53</v>
      </c>
      <c r="F28" s="55" t="s">
        <v>27</v>
      </c>
      <c r="G28" s="2">
        <v>42663</v>
      </c>
      <c r="H28" s="1">
        <v>82696.95</v>
      </c>
      <c r="I28" s="1">
        <v>716</v>
      </c>
      <c r="J28" s="1">
        <v>28.5</v>
      </c>
      <c r="K28" s="3">
        <f t="shared" si="5"/>
        <v>0.00865811858841227</v>
      </c>
      <c r="L28" s="16">
        <v>0.06538762</v>
      </c>
      <c r="M28" s="3">
        <f t="shared" si="6"/>
        <v>0.8286377812541398</v>
      </c>
      <c r="N28" s="21">
        <f t="shared" si="7"/>
        <v>0.0494427516790615</v>
      </c>
      <c r="O28" s="3">
        <f t="shared" si="8"/>
        <v>986.4735491120712</v>
      </c>
      <c r="P28" s="3">
        <f t="shared" si="9"/>
        <v>60.02053101947109</v>
      </c>
      <c r="Q28" s="8">
        <f t="shared" si="10"/>
        <v>0.060843528012987085</v>
      </c>
    </row>
    <row r="29" spans="1:17" ht="15">
      <c r="A29" s="1">
        <v>10</v>
      </c>
      <c r="B29" s="1">
        <v>11</v>
      </c>
      <c r="C29" s="1">
        <v>0.63</v>
      </c>
      <c r="D29" s="1" t="s">
        <v>3</v>
      </c>
      <c r="E29" s="1" t="s">
        <v>54</v>
      </c>
      <c r="F29" s="55" t="s">
        <v>55</v>
      </c>
      <c r="G29" s="2">
        <v>42657</v>
      </c>
      <c r="H29" s="1">
        <v>238567.36</v>
      </c>
      <c r="I29" s="1">
        <v>2009</v>
      </c>
      <c r="J29" s="1">
        <v>47</v>
      </c>
      <c r="K29" s="3">
        <f t="shared" si="5"/>
        <v>0.008421101696393003</v>
      </c>
      <c r="L29" s="16">
        <v>0.0655652</v>
      </c>
      <c r="M29" s="3">
        <f t="shared" si="6"/>
        <v>0.7924818250570713</v>
      </c>
      <c r="N29" s="21">
        <f t="shared" si="7"/>
        <v>0.028187479168743656</v>
      </c>
      <c r="O29" s="3">
        <f t="shared" si="8"/>
        <v>1257.907658820748</v>
      </c>
      <c r="P29" s="3">
        <f t="shared" si="9"/>
        <v>48.995121380848516</v>
      </c>
      <c r="Q29" s="8">
        <f t="shared" si="10"/>
        <v>0.0389496963765846</v>
      </c>
    </row>
    <row r="30" spans="1:17" ht="15">
      <c r="A30" s="1">
        <v>11</v>
      </c>
      <c r="B30" s="1">
        <v>10</v>
      </c>
      <c r="C30" s="1">
        <v>0.54</v>
      </c>
      <c r="D30" s="1" t="s">
        <v>3</v>
      </c>
      <c r="E30" s="1" t="s">
        <v>54</v>
      </c>
      <c r="F30" s="55" t="s">
        <v>27</v>
      </c>
      <c r="G30" s="2">
        <v>42667</v>
      </c>
      <c r="H30" s="1">
        <v>142155.49</v>
      </c>
      <c r="I30" s="1">
        <v>1116</v>
      </c>
      <c r="J30" s="1">
        <v>35.5</v>
      </c>
      <c r="K30" s="3">
        <f t="shared" si="5"/>
        <v>0.007850558567945564</v>
      </c>
      <c r="L30" s="16">
        <v>0.06521004</v>
      </c>
      <c r="M30" s="3">
        <f t="shared" si="6"/>
        <v>0.7147218804066964</v>
      </c>
      <c r="N30" s="21">
        <f t="shared" si="7"/>
        <v>0.035924691312709756</v>
      </c>
      <c r="O30" s="3">
        <f t="shared" si="8"/>
        <v>1323.5590377901785</v>
      </c>
      <c r="P30" s="3">
        <f t="shared" si="9"/>
        <v>70.89870618205285</v>
      </c>
      <c r="Q30" s="8">
        <f t="shared" si="10"/>
        <v>0.05356671229447061</v>
      </c>
    </row>
    <row r="31" spans="1:17" ht="15">
      <c r="A31" s="1">
        <v>4</v>
      </c>
      <c r="B31" s="1">
        <v>12</v>
      </c>
      <c r="C31" s="1">
        <v>0.82</v>
      </c>
      <c r="D31" s="1" t="s">
        <v>4</v>
      </c>
      <c r="E31" s="1" t="s">
        <v>54</v>
      </c>
      <c r="F31" s="55" t="s">
        <v>55</v>
      </c>
      <c r="G31" s="2">
        <v>42648</v>
      </c>
      <c r="H31" s="1">
        <v>75570.39</v>
      </c>
      <c r="I31" s="1">
        <v>653</v>
      </c>
      <c r="J31" s="1">
        <v>26.5</v>
      </c>
      <c r="K31" s="3">
        <f t="shared" si="5"/>
        <v>0.008640950509849163</v>
      </c>
      <c r="L31" s="16">
        <v>0.0655652</v>
      </c>
      <c r="M31" s="3">
        <f t="shared" si="6"/>
        <v>0.8239371032901394</v>
      </c>
      <c r="N31" s="21">
        <f t="shared" si="7"/>
        <v>0.05017225436657149</v>
      </c>
      <c r="O31" s="3">
        <f t="shared" si="8"/>
        <v>1004.8013454757798</v>
      </c>
      <c r="P31" s="3">
        <f t="shared" si="9"/>
        <v>62.400637049476245</v>
      </c>
      <c r="Q31" s="8">
        <f t="shared" si="10"/>
        <v>0.06210246167607304</v>
      </c>
    </row>
    <row r="32" spans="1:17" ht="15">
      <c r="A32" s="1">
        <v>5</v>
      </c>
      <c r="B32" s="1">
        <v>10</v>
      </c>
      <c r="C32" s="1">
        <v>0.66</v>
      </c>
      <c r="D32" s="1" t="s">
        <v>4</v>
      </c>
      <c r="E32" s="1" t="s">
        <v>53</v>
      </c>
      <c r="F32" s="55" t="s">
        <v>55</v>
      </c>
      <c r="G32" s="2">
        <v>42648</v>
      </c>
      <c r="H32" s="1">
        <v>83431.76</v>
      </c>
      <c r="I32" s="1">
        <v>541</v>
      </c>
      <c r="J32" s="1">
        <v>25</v>
      </c>
      <c r="K32" s="3">
        <f t="shared" si="5"/>
        <v>0.006484341214904253</v>
      </c>
      <c r="L32" s="16">
        <v>0.06485488</v>
      </c>
      <c r="M32" s="3">
        <f t="shared" si="6"/>
        <v>0.521020847456109</v>
      </c>
      <c r="N32" s="21">
        <f t="shared" si="7"/>
        <v>0.04334197913431681</v>
      </c>
      <c r="O32" s="3">
        <f t="shared" si="8"/>
        <v>789.42552644865</v>
      </c>
      <c r="P32" s="3">
        <f t="shared" si="9"/>
        <v>66.75005840596879</v>
      </c>
      <c r="Q32" s="8">
        <f t="shared" si="10"/>
        <v>0.08455523183580599</v>
      </c>
    </row>
    <row r="33" spans="1:17" ht="15">
      <c r="A33" s="1">
        <v>13</v>
      </c>
      <c r="B33" s="1">
        <v>14</v>
      </c>
      <c r="C33" s="1">
        <v>0.91</v>
      </c>
      <c r="D33" s="1" t="s">
        <v>4</v>
      </c>
      <c r="E33" s="1" t="s">
        <v>54</v>
      </c>
      <c r="F33" s="55" t="s">
        <v>27</v>
      </c>
      <c r="G33" s="2">
        <v>42660</v>
      </c>
      <c r="H33" s="1">
        <v>12490.27</v>
      </c>
      <c r="I33" s="1">
        <v>136</v>
      </c>
      <c r="J33" s="1">
        <v>12.5</v>
      </c>
      <c r="K33" s="3">
        <f t="shared" si="5"/>
        <v>0.010888475589398788</v>
      </c>
      <c r="L33" s="16">
        <v>0.06592036</v>
      </c>
      <c r="M33" s="3">
        <f t="shared" si="6"/>
        <v>1.1393342802361734</v>
      </c>
      <c r="N33" s="21">
        <f t="shared" si="7"/>
        <v>0.1424168616728392</v>
      </c>
      <c r="O33" s="3">
        <f t="shared" si="8"/>
        <v>1252.0156925672234</v>
      </c>
      <c r="P33" s="3">
        <f t="shared" si="9"/>
        <v>157.1056469361302</v>
      </c>
      <c r="Q33" s="8">
        <f t="shared" si="10"/>
        <v>0.12548217076575888</v>
      </c>
    </row>
    <row r="34" spans="1:17" ht="15">
      <c r="A34" s="1">
        <v>15</v>
      </c>
      <c r="B34" s="1">
        <v>8</v>
      </c>
      <c r="C34" s="1">
        <v>0.74</v>
      </c>
      <c r="D34" s="1" t="s">
        <v>4</v>
      </c>
      <c r="E34" s="1" t="s">
        <v>53</v>
      </c>
      <c r="F34" s="55" t="s">
        <v>27</v>
      </c>
      <c r="G34" s="2">
        <v>42660</v>
      </c>
      <c r="H34" s="1">
        <v>65201.24</v>
      </c>
      <c r="I34" s="1">
        <v>528</v>
      </c>
      <c r="J34" s="1">
        <v>24.5</v>
      </c>
      <c r="K34" s="3">
        <f t="shared" si="5"/>
        <v>0.008098005498054945</v>
      </c>
      <c r="L34" s="16">
        <v>0.06503246</v>
      </c>
      <c r="M34" s="3">
        <f t="shared" si="6"/>
        <v>0.7523674818863053</v>
      </c>
      <c r="N34" s="21">
        <f t="shared" si="7"/>
        <v>0.05420293979671801</v>
      </c>
      <c r="O34" s="3">
        <f t="shared" si="8"/>
        <v>1016.7128133598719</v>
      </c>
      <c r="P34" s="3">
        <f t="shared" si="9"/>
        <v>74.52465847467096</v>
      </c>
      <c r="Q34" s="8">
        <f t="shared" si="10"/>
        <v>0.07329961567848607</v>
      </c>
    </row>
    <row r="35" spans="1:17" ht="15">
      <c r="A35" s="1">
        <v>1</v>
      </c>
      <c r="B35" s="1">
        <v>13</v>
      </c>
      <c r="C35" s="1">
        <v>0.88</v>
      </c>
      <c r="D35" s="1" t="s">
        <v>5</v>
      </c>
      <c r="E35" s="1" t="s">
        <v>53</v>
      </c>
      <c r="F35" s="55" t="s">
        <v>55</v>
      </c>
      <c r="G35" s="2">
        <v>42664</v>
      </c>
      <c r="H35" s="1">
        <v>230234.34</v>
      </c>
      <c r="I35" s="1">
        <v>2503</v>
      </c>
      <c r="J35" s="1">
        <v>52.5</v>
      </c>
      <c r="K35" s="3">
        <f t="shared" si="5"/>
        <v>0.010871532022547115</v>
      </c>
      <c r="L35" s="16">
        <v>0.0655652</v>
      </c>
      <c r="M35" s="3">
        <f t="shared" si="6"/>
        <v>1.143081705439394</v>
      </c>
      <c r="N35" s="21">
        <f t="shared" si="7"/>
        <v>0.03262560758127436</v>
      </c>
      <c r="O35" s="3">
        <f t="shared" si="8"/>
        <v>1298.956483453857</v>
      </c>
      <c r="P35" s="3">
        <f t="shared" si="9"/>
        <v>39.90495980375811</v>
      </c>
      <c r="Q35" s="8">
        <f t="shared" si="10"/>
        <v>0.030720782652897596</v>
      </c>
    </row>
    <row r="36" spans="1:17" ht="15">
      <c r="A36" s="1">
        <v>2</v>
      </c>
      <c r="B36" s="1">
        <v>10</v>
      </c>
      <c r="C36" s="1">
        <v>0.72</v>
      </c>
      <c r="D36" s="1" t="s">
        <v>5</v>
      </c>
      <c r="E36" s="1" t="s">
        <v>54</v>
      </c>
      <c r="F36" s="55" t="s">
        <v>27</v>
      </c>
      <c r="G36" s="2">
        <v>42655</v>
      </c>
      <c r="H36" s="1">
        <v>82751.81</v>
      </c>
      <c r="I36" s="1">
        <v>942</v>
      </c>
      <c r="J36" s="1">
        <v>32</v>
      </c>
      <c r="K36" s="3">
        <f t="shared" si="5"/>
        <v>0.011383436809418428</v>
      </c>
      <c r="L36" s="16">
        <v>0.06449972</v>
      </c>
      <c r="M36" s="3">
        <f t="shared" si="6"/>
        <v>1.2364160546484206</v>
      </c>
      <c r="N36" s="21">
        <f t="shared" si="7"/>
        <v>0.05624157090035724</v>
      </c>
      <c r="O36" s="3">
        <f t="shared" si="8"/>
        <v>1717.2445203450288</v>
      </c>
      <c r="P36" s="3">
        <f t="shared" si="9"/>
        <v>81.67336484725853</v>
      </c>
      <c r="Q36" s="8">
        <f t="shared" si="10"/>
        <v>0.0475607077964929</v>
      </c>
    </row>
    <row r="37" spans="1:17" ht="15">
      <c r="A37" s="1">
        <v>14</v>
      </c>
      <c r="B37" s="1">
        <v>16</v>
      </c>
      <c r="C37" s="1">
        <v>0.98</v>
      </c>
      <c r="D37" s="1" t="s">
        <v>5</v>
      </c>
      <c r="E37" s="1" t="s">
        <v>53</v>
      </c>
      <c r="F37" s="55" t="s">
        <v>27</v>
      </c>
      <c r="G37" s="2">
        <v>42656</v>
      </c>
      <c r="H37" s="1">
        <v>85970.17</v>
      </c>
      <c r="I37" s="1">
        <v>1150</v>
      </c>
      <c r="J37" s="1">
        <v>35.5</v>
      </c>
      <c r="K37" s="3">
        <f t="shared" si="5"/>
        <v>0.013376732883045363</v>
      </c>
      <c r="L37" s="16">
        <v>0.06521004</v>
      </c>
      <c r="M37" s="3">
        <f t="shared" si="6"/>
        <v>1.509695850393515</v>
      </c>
      <c r="N37" s="21">
        <f t="shared" si="7"/>
        <v>0.059403070816970556</v>
      </c>
      <c r="O37" s="3">
        <f t="shared" si="8"/>
        <v>1540.5059697893012</v>
      </c>
      <c r="P37" s="3">
        <f t="shared" si="9"/>
        <v>62.62048517255529</v>
      </c>
      <c r="Q37" s="8">
        <f t="shared" si="10"/>
        <v>0.04064929730919514</v>
      </c>
    </row>
    <row r="38" spans="1:17" ht="15">
      <c r="A38" s="1">
        <v>16</v>
      </c>
      <c r="B38" s="1">
        <v>12</v>
      </c>
      <c r="C38" s="1">
        <v>0.77</v>
      </c>
      <c r="D38" s="1" t="s">
        <v>6</v>
      </c>
      <c r="E38" s="1" t="s">
        <v>54</v>
      </c>
      <c r="F38" s="55" t="s">
        <v>56</v>
      </c>
      <c r="G38" s="2">
        <v>42670</v>
      </c>
      <c r="H38" s="1">
        <v>313061.37</v>
      </c>
      <c r="I38" s="1">
        <v>3822</v>
      </c>
      <c r="J38" s="1">
        <v>66</v>
      </c>
      <c r="K38" s="3">
        <f t="shared" si="5"/>
        <v>0.012208468901800308</v>
      </c>
      <c r="L38" s="16">
        <v>0.067341</v>
      </c>
      <c r="M38" s="3">
        <f t="shared" si="6"/>
        <v>1.2991788418656025</v>
      </c>
      <c r="N38" s="21">
        <f t="shared" si="7"/>
        <v>0.029368224278941445</v>
      </c>
      <c r="O38" s="3">
        <f t="shared" si="8"/>
        <v>1687.245249176107</v>
      </c>
      <c r="P38" s="3">
        <f t="shared" si="9"/>
        <v>43.98692384518783</v>
      </c>
      <c r="Q38" s="8">
        <f t="shared" si="10"/>
        <v>0.026070260898151548</v>
      </c>
    </row>
    <row r="42" spans="2:3" ht="15">
      <c r="B42" s="18" t="s">
        <v>47</v>
      </c>
      <c r="C42" s="1" t="s">
        <v>49</v>
      </c>
    </row>
    <row r="43" spans="1:3" ht="15">
      <c r="A43" s="18" t="s">
        <v>48</v>
      </c>
      <c r="B43" s="1">
        <v>0.851</v>
      </c>
      <c r="C43" s="1">
        <v>11019</v>
      </c>
    </row>
    <row r="44" spans="1:3" ht="15">
      <c r="A44" s="18" t="s">
        <v>84</v>
      </c>
      <c r="B44" s="1">
        <v>0.1066</v>
      </c>
      <c r="C44" s="1" t="s">
        <v>7</v>
      </c>
    </row>
    <row r="46" ht="15">
      <c r="A46" s="1" t="s">
        <v>66</v>
      </c>
    </row>
    <row r="47" ht="15">
      <c r="A47" s="1">
        <v>0.01</v>
      </c>
    </row>
  </sheetData>
  <conditionalFormatting sqref="O23:O38">
    <cfRule type="colorScale" priority="1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O4:O15">
    <cfRule type="colorScale" priority="4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printOptions/>
  <pageMargins left="0.7" right="0.7" top="0.787401575" bottom="0.787401575" header="0.3" footer="0.3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"/>
  <sheetViews>
    <sheetView showGridLines="0" workbookViewId="0" topLeftCell="A1"/>
  </sheetViews>
  <sheetFormatPr defaultColWidth="11.57421875" defaultRowHeight="15"/>
  <cols>
    <col min="1" max="1" width="12.28125" style="1" customWidth="1"/>
    <col min="2" max="4" width="11.57421875" style="1" customWidth="1"/>
    <col min="5" max="5" width="13.8515625" style="1" customWidth="1"/>
    <col min="6" max="6" width="11.57421875" style="1" customWidth="1"/>
    <col min="7" max="7" width="19.140625" style="1" customWidth="1"/>
    <col min="8" max="8" width="15.421875" style="1" customWidth="1"/>
    <col min="9" max="9" width="17.140625" style="1" customWidth="1"/>
    <col min="10" max="11" width="14.421875" style="1" customWidth="1"/>
    <col min="12" max="14" width="11.57421875" style="1" customWidth="1"/>
    <col min="15" max="15" width="19.00390625" style="1" bestFit="1" customWidth="1"/>
    <col min="16" max="16384" width="11.57421875" style="1" customWidth="1"/>
  </cols>
  <sheetData>
    <row r="1" s="4" customFormat="1" ht="22.5">
      <c r="A1" s="60" t="s">
        <v>45</v>
      </c>
    </row>
    <row r="2" ht="15">
      <c r="A2" s="62" t="s">
        <v>78</v>
      </c>
    </row>
    <row r="3" ht="15">
      <c r="A3" s="62" t="s">
        <v>79</v>
      </c>
    </row>
    <row r="4" spans="1:12" s="54" customFormat="1" ht="24">
      <c r="A4" s="53" t="s">
        <v>9</v>
      </c>
      <c r="B4" s="53" t="s">
        <v>8</v>
      </c>
      <c r="C4" s="53" t="s">
        <v>73</v>
      </c>
      <c r="D4" s="53" t="s">
        <v>74</v>
      </c>
      <c r="E4" s="53" t="s">
        <v>11</v>
      </c>
      <c r="F4" s="53" t="s">
        <v>75</v>
      </c>
      <c r="G4" s="53" t="s">
        <v>10</v>
      </c>
      <c r="H4" s="53" t="s">
        <v>63</v>
      </c>
      <c r="I4" s="53" t="s">
        <v>47</v>
      </c>
      <c r="J4" s="53" t="s">
        <v>80</v>
      </c>
      <c r="K4" s="53" t="s">
        <v>74</v>
      </c>
      <c r="L4" s="53" t="s">
        <v>65</v>
      </c>
    </row>
    <row r="5" spans="1:15" ht="15">
      <c r="A5" s="5">
        <v>4.23</v>
      </c>
      <c r="B5" s="1">
        <v>0.5</v>
      </c>
      <c r="C5" s="1">
        <v>98485</v>
      </c>
      <c r="D5" s="1">
        <f>690/2</f>
        <v>345</v>
      </c>
      <c r="E5" s="1">
        <v>38.88</v>
      </c>
      <c r="F5" s="68">
        <f>C5/E5</f>
        <v>2533.0504115226336</v>
      </c>
      <c r="G5" s="1">
        <v>19236</v>
      </c>
      <c r="H5" s="1">
        <v>134</v>
      </c>
      <c r="I5" s="1">
        <v>0.851</v>
      </c>
      <c r="J5" s="16">
        <f>C5/(G5*I5*E5)</f>
        <v>0.1547388997374582</v>
      </c>
      <c r="K5" s="16">
        <f>SQRT(((1/(E5*I5*G5))*D5)^2+((C5/(E5*I5*G5^2))*H5)^2)</f>
        <v>0.0012065480520505748</v>
      </c>
      <c r="L5" s="8">
        <f>K5/J5</f>
        <v>0.007797315698235519</v>
      </c>
      <c r="N5" s="21"/>
      <c r="O5" s="65"/>
    </row>
    <row r="6" spans="1:15" ht="15">
      <c r="A6" s="5">
        <v>8.46</v>
      </c>
      <c r="B6" s="1">
        <v>1</v>
      </c>
      <c r="C6" s="1">
        <v>109243</v>
      </c>
      <c r="D6" s="1">
        <f>799/2</f>
        <v>399.5</v>
      </c>
      <c r="E6" s="1">
        <v>44.05</v>
      </c>
      <c r="F6" s="68">
        <f>C6/E6</f>
        <v>2479.9772985244044</v>
      </c>
      <c r="G6" s="1">
        <v>19236</v>
      </c>
      <c r="H6" s="1">
        <v>134</v>
      </c>
      <c r="I6" s="1">
        <v>0.851</v>
      </c>
      <c r="J6" s="16">
        <f>C6/(G6*I6*E6)</f>
        <v>0.15149677116645544</v>
      </c>
      <c r="K6" s="16">
        <f>SQRT(((1/(E6*I6*G6))*D6)^2+((C6/(E6*I6*G6^2))*H6)^2)</f>
        <v>0.001191925919584931</v>
      </c>
      <c r="L6" s="8">
        <f aca="true" t="shared" si="0" ref="L6:L8">K6/J6</f>
        <v>0.007867665498133392</v>
      </c>
      <c r="N6" s="21"/>
      <c r="O6" s="65"/>
    </row>
    <row r="7" spans="1:15" ht="15">
      <c r="A7" s="5">
        <v>12.68</v>
      </c>
      <c r="B7" s="1">
        <v>1.5</v>
      </c>
      <c r="C7" s="1">
        <v>95408</v>
      </c>
      <c r="D7" s="1">
        <f>756/2</f>
        <v>378</v>
      </c>
      <c r="E7" s="1">
        <v>39.55</v>
      </c>
      <c r="F7" s="68">
        <f>C7/E7</f>
        <v>2412.338811630847</v>
      </c>
      <c r="G7" s="1">
        <v>19236</v>
      </c>
      <c r="H7" s="1">
        <v>134</v>
      </c>
      <c r="I7" s="1">
        <v>0.851</v>
      </c>
      <c r="J7" s="16">
        <f>C7/(G7*I7*E7)</f>
        <v>0.14736487351680538</v>
      </c>
      <c r="K7" s="16">
        <f>SQRT(((1/(E7*I7*G7))*D7)^2+((C7/(E7*I7*G7^2))*H7)^2)</f>
        <v>0.001180975940034048</v>
      </c>
      <c r="L7" s="8">
        <f t="shared" si="0"/>
        <v>0.00801395822390042</v>
      </c>
      <c r="N7" s="21"/>
      <c r="O7" s="65"/>
    </row>
    <row r="8" spans="1:15" ht="15">
      <c r="A8" s="5">
        <v>16.91</v>
      </c>
      <c r="B8" s="1">
        <v>2</v>
      </c>
      <c r="C8" s="1">
        <v>115908</v>
      </c>
      <c r="D8" s="1">
        <f>792/2</f>
        <v>396</v>
      </c>
      <c r="E8" s="1">
        <v>49.98</v>
      </c>
      <c r="F8" s="68">
        <f>C8/E8</f>
        <v>2319.0876350540216</v>
      </c>
      <c r="G8" s="1">
        <v>19236</v>
      </c>
      <c r="H8" s="1">
        <v>134</v>
      </c>
      <c r="I8" s="1">
        <v>0.851</v>
      </c>
      <c r="J8" s="16">
        <f>C8/(G8*I8*E8)</f>
        <v>0.1416683487271358</v>
      </c>
      <c r="K8" s="16">
        <f>SQRT(((1/(E8*I8*G8))*D8)^2+((C8/(E8*I8*G8^2))*H8)^2)</f>
        <v>0.0010991776210100565</v>
      </c>
      <c r="L8" s="8">
        <f t="shared" si="0"/>
        <v>0.007758808730997195</v>
      </c>
      <c r="N8" s="21"/>
      <c r="O8" s="65"/>
    </row>
    <row r="10" ht="12.75"/>
    <row r="11" ht="12.75">
      <c r="N11" s="3"/>
    </row>
    <row r="12" ht="12.75">
      <c r="N12" s="3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>
      <c r="D31" s="5"/>
    </row>
    <row r="32" ht="15">
      <c r="D32" s="5"/>
    </row>
    <row r="33" spans="1:5" ht="15">
      <c r="A33" s="4"/>
      <c r="B33" s="4"/>
      <c r="C33" s="4"/>
      <c r="D33" s="5"/>
      <c r="E33" s="4"/>
    </row>
    <row r="34" ht="15">
      <c r="D34" s="5"/>
    </row>
    <row r="35" spans="2:5" ht="15">
      <c r="B35" s="4"/>
      <c r="C35" s="4"/>
      <c r="D35" s="4"/>
      <c r="E35" s="4"/>
    </row>
  </sheetData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7C82D-1475-B94C-866B-A73ABF7F9F49}">
  <dimension ref="A1:A1"/>
  <sheetViews>
    <sheetView zoomScale="60" zoomScaleNormal="60" zoomScaleSheetLayoutView="100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7"/>
  <sheetViews>
    <sheetView showGridLines="0" tabSelected="1" workbookViewId="0" topLeftCell="A10"/>
  </sheetViews>
  <sheetFormatPr defaultColWidth="11.421875" defaultRowHeight="15"/>
  <cols>
    <col min="1" max="1" width="21.28125" style="10" customWidth="1"/>
    <col min="2" max="2" width="15.57421875" style="10" customWidth="1"/>
    <col min="3" max="3" width="16.140625" style="10" customWidth="1"/>
    <col min="4" max="4" width="15.7109375" style="10" customWidth="1"/>
    <col min="5" max="5" width="11.421875" style="10" customWidth="1"/>
    <col min="6" max="6" width="15.57421875" style="10" customWidth="1"/>
    <col min="7" max="7" width="13.7109375" style="10" customWidth="1"/>
    <col min="8" max="8" width="14.28125" style="10" customWidth="1"/>
    <col min="9" max="16384" width="11.421875" style="10" customWidth="1"/>
  </cols>
  <sheetData>
    <row r="1" spans="1:8" ht="22.5">
      <c r="A1" s="60" t="s">
        <v>46</v>
      </c>
      <c r="B1" s="7"/>
      <c r="C1" s="4"/>
      <c r="D1" s="4"/>
      <c r="E1" s="4"/>
      <c r="F1" s="4"/>
      <c r="G1" s="4"/>
      <c r="H1" s="4"/>
    </row>
    <row r="2" spans="1:8" ht="14.25">
      <c r="A2" s="62" t="s">
        <v>78</v>
      </c>
      <c r="B2" s="7"/>
      <c r="C2" s="4"/>
      <c r="D2" s="4"/>
      <c r="E2" s="4"/>
      <c r="F2" s="4"/>
      <c r="G2" s="4"/>
      <c r="H2" s="4"/>
    </row>
    <row r="3" spans="1:8" ht="15">
      <c r="A3" s="62" t="s">
        <v>104</v>
      </c>
      <c r="B3" s="1"/>
      <c r="C3" s="1"/>
      <c r="D3" s="1"/>
      <c r="E3" s="1"/>
      <c r="F3" s="1"/>
      <c r="G3" s="1"/>
      <c r="H3" s="1"/>
    </row>
    <row r="4" spans="1:9" s="63" customFormat="1" ht="24">
      <c r="A4" s="53" t="s">
        <v>81</v>
      </c>
      <c r="B4" s="53" t="s">
        <v>9</v>
      </c>
      <c r="C4" s="53" t="s">
        <v>50</v>
      </c>
      <c r="D4" s="53" t="s">
        <v>82</v>
      </c>
      <c r="E4" s="53" t="s">
        <v>83</v>
      </c>
      <c r="F4" s="53" t="s">
        <v>74</v>
      </c>
      <c r="G4" s="53" t="s">
        <v>11</v>
      </c>
      <c r="H4" s="53" t="s">
        <v>89</v>
      </c>
      <c r="I4" s="53" t="s">
        <v>90</v>
      </c>
    </row>
    <row r="5" spans="1:9" ht="15">
      <c r="A5" s="1">
        <v>1</v>
      </c>
      <c r="B5" s="1">
        <v>20.6</v>
      </c>
      <c r="C5" s="1">
        <v>2.64</v>
      </c>
      <c r="D5" s="1">
        <v>0.015</v>
      </c>
      <c r="E5" s="1">
        <v>54166</v>
      </c>
      <c r="F5" s="1">
        <f>557/2</f>
        <v>278.5</v>
      </c>
      <c r="G5" s="1">
        <v>179272</v>
      </c>
      <c r="H5" s="3">
        <f>E5/G5</f>
        <v>0.3021442277656299</v>
      </c>
      <c r="I5" s="3">
        <f>H5-$H$8</f>
        <v>0.29925225905866515</v>
      </c>
    </row>
    <row r="6" spans="1:9" ht="15">
      <c r="A6" s="1">
        <v>2</v>
      </c>
      <c r="B6" s="1">
        <v>15.3</v>
      </c>
      <c r="C6" s="1">
        <v>1.95</v>
      </c>
      <c r="D6" s="1">
        <v>0.015</v>
      </c>
      <c r="E6" s="1">
        <v>41627</v>
      </c>
      <c r="F6" s="1">
        <f>439/2</f>
        <v>219.5</v>
      </c>
      <c r="G6" s="1">
        <v>186577</v>
      </c>
      <c r="H6" s="3">
        <f>E6/G6</f>
        <v>0.2231089576957503</v>
      </c>
      <c r="I6" s="3">
        <f>H6-$H$8</f>
        <v>0.22021698898878553</v>
      </c>
    </row>
    <row r="7" spans="1:9" ht="15">
      <c r="A7" s="1">
        <v>3</v>
      </c>
      <c r="B7" s="1">
        <v>8.8</v>
      </c>
      <c r="C7" s="1">
        <v>1.04</v>
      </c>
      <c r="D7" s="1">
        <v>0.015</v>
      </c>
      <c r="E7" s="1">
        <v>39940</v>
      </c>
      <c r="F7" s="1">
        <f>463/2</f>
        <v>231.5</v>
      </c>
      <c r="G7" s="1">
        <v>320827</v>
      </c>
      <c r="H7" s="3">
        <f>E7/G7</f>
        <v>0.12449076916843034</v>
      </c>
      <c r="I7" s="3">
        <f>H7-$H$8</f>
        <v>0.1215988004614656</v>
      </c>
    </row>
    <row r="8" spans="1:8" ht="15">
      <c r="A8" s="1" t="s">
        <v>57</v>
      </c>
      <c r="B8" s="1" t="s">
        <v>7</v>
      </c>
      <c r="C8" s="1" t="s">
        <v>7</v>
      </c>
      <c r="D8" s="1" t="s">
        <v>7</v>
      </c>
      <c r="E8" s="1">
        <v>987</v>
      </c>
      <c r="F8" s="1">
        <f>68/2</f>
        <v>34</v>
      </c>
      <c r="G8" s="1">
        <v>341290</v>
      </c>
      <c r="H8" s="3">
        <f>E8/G8</f>
        <v>0.0028919687069647515</v>
      </c>
    </row>
    <row r="9" spans="1:8" ht="15">
      <c r="A9" s="1"/>
      <c r="B9" s="1"/>
      <c r="C9" s="1"/>
      <c r="D9" s="1"/>
      <c r="E9" s="1"/>
      <c r="F9" s="1"/>
      <c r="G9" s="1"/>
      <c r="H9" s="1"/>
    </row>
    <row r="11" ht="14.25">
      <c r="A11" s="64" t="s">
        <v>102</v>
      </c>
    </row>
    <row r="12" spans="1:11" ht="35.25">
      <c r="A12" s="9" t="s">
        <v>91</v>
      </c>
      <c r="B12" s="9"/>
      <c r="D12" s="53" t="s">
        <v>81</v>
      </c>
      <c r="E12" s="53" t="s">
        <v>9</v>
      </c>
      <c r="F12" s="53" t="s">
        <v>98</v>
      </c>
      <c r="G12" s="53" t="s">
        <v>99</v>
      </c>
      <c r="H12" s="53" t="s">
        <v>100</v>
      </c>
      <c r="I12" s="53" t="s">
        <v>101</v>
      </c>
      <c r="J12" s="53" t="s">
        <v>88</v>
      </c>
      <c r="K12" s="53" t="s">
        <v>74</v>
      </c>
    </row>
    <row r="13" spans="1:11" ht="15">
      <c r="A13" s="10">
        <v>74.5513</v>
      </c>
      <c r="D13" s="1">
        <v>1</v>
      </c>
      <c r="E13" s="1">
        <v>20.6</v>
      </c>
      <c r="F13" s="22">
        <f>(C5*$A$19*$A$23)/$A$13</f>
        <v>2.488264376872731E+18</v>
      </c>
      <c r="G13" s="1">
        <f>SQRT((($A$19*$A$23*D5)/$A$13)^2+((C5*$A$23*$B$19)/$A$13)^2)</f>
        <v>14240429523471576</v>
      </c>
      <c r="H13" s="5">
        <f>(LN(2)*F13)/($A$17*$A$26)</f>
        <v>43.79380762778273</v>
      </c>
      <c r="I13" s="5">
        <f>SQRT(((LN(2)*G13)/($A$17*$A$26))^2+((LN(2)*F13*$B$17*$A$26)/($A$17*$A$26)^2)^2)</f>
        <v>0.27184503256635534</v>
      </c>
      <c r="J13" s="24">
        <f>(I5)/(H13*$A$21)</f>
        <v>0.06410140173971449</v>
      </c>
      <c r="K13" s="10">
        <f>SQRT((F5/(G5*$A$21*H13))^2+((I13*E5)/(G5*$A$21*H13^2))^2+((E5*$B$21)/(G5*H13*$A$21^2))^2)</f>
        <v>0.0009460959163981874</v>
      </c>
    </row>
    <row r="14" spans="1:11" ht="15">
      <c r="A14" s="9" t="s">
        <v>92</v>
      </c>
      <c r="B14" s="9"/>
      <c r="D14" s="1">
        <v>2</v>
      </c>
      <c r="E14" s="1">
        <v>15.3</v>
      </c>
      <c r="F14" s="14">
        <f>(C6*$A$19*$A$23)/$A$13</f>
        <v>1.8379225510991762E+18</v>
      </c>
      <c r="G14" s="1">
        <f>SQRT((($A$19*$A$23*D6)/$A$13)^2+((C6*$A$23*$B$19)/$A$13)^2)</f>
        <v>14193914752999980</v>
      </c>
      <c r="H14" s="5">
        <f>(LN(2)*F14)/($A$17*$A$26)</f>
        <v>32.347698815975875</v>
      </c>
      <c r="I14" s="5">
        <f>SQRT(((LN(2)*G14)/($A$17*$A$26))^2+((LN(2)*F14*$B$17*$A$26)/($A$17*$A$26)^2)^2)</f>
        <v>0.26163703987550635</v>
      </c>
      <c r="J14" s="24">
        <f>(I6)/(H14*$A$21)</f>
        <v>0.06386313364685166</v>
      </c>
      <c r="K14" s="10">
        <f>SQRT((F6/(G6*$A$21*H14))^2+((I14*E6)/(G6*$A$21*H14^2))^2+((E6*$B$21)/(G6*H14*$A$21^2))^2)</f>
        <v>0.001006411413532827</v>
      </c>
    </row>
    <row r="15" spans="1:11" ht="15">
      <c r="A15" s="10">
        <v>39.0983</v>
      </c>
      <c r="D15" s="1">
        <v>3</v>
      </c>
      <c r="E15" s="1">
        <v>8.8</v>
      </c>
      <c r="F15" s="14">
        <f>(C7*$A$19*$A$23)/$A$13</f>
        <v>9.802253605862272E+17</v>
      </c>
      <c r="G15" s="1">
        <f>SQRT((($A$19*$A$23*D7)/$A$13)^2+((C7*$A$23*$B$19)/$A$13)^2)</f>
        <v>14153831185056680</v>
      </c>
      <c r="H15" s="5">
        <f>(LN(2)*F15)/($A$17*$A$26)</f>
        <v>17.252106035187133</v>
      </c>
      <c r="I15" s="5">
        <f>SQRT(((LN(2)*G15)/($A$17*$A$26))^2+((LN(2)*F15*$B$17*$A$26)/($A$17*$A$26)^2)^2)</f>
        <v>0.2525379056045706</v>
      </c>
      <c r="J15" s="24">
        <f>(I7)/(H15*$A$21)</f>
        <v>0.06611956189915219</v>
      </c>
      <c r="K15" s="10">
        <f>SQRT((F7/(G7*$A$21*H15))^2+((I15*E7)/(G7*$A$21*H15^2))^2+((E7*$B$21)/(G7*H15*$A$21^2))^2)</f>
        <v>0.0013480593988101578</v>
      </c>
    </row>
    <row r="16" spans="1:2" ht="15">
      <c r="A16" s="9" t="s">
        <v>93</v>
      </c>
      <c r="B16" s="10" t="s">
        <v>95</v>
      </c>
    </row>
    <row r="17" spans="1:2" ht="15">
      <c r="A17" s="17">
        <v>1248000000</v>
      </c>
      <c r="B17" s="17">
        <v>3000000</v>
      </c>
    </row>
    <row r="18" spans="1:2" ht="12.75">
      <c r="A18" s="9" t="s">
        <v>94</v>
      </c>
      <c r="B18" s="10" t="s">
        <v>96</v>
      </c>
    </row>
    <row r="19" spans="1:2" ht="12.75">
      <c r="A19" s="17">
        <v>0.00011668</v>
      </c>
      <c r="B19" s="17">
        <v>8E-08</v>
      </c>
    </row>
    <row r="20" spans="1:2" ht="12.75">
      <c r="A20" s="9" t="s">
        <v>47</v>
      </c>
      <c r="B20" s="10" t="s">
        <v>96</v>
      </c>
    </row>
    <row r="21" spans="1:2" ht="12.75">
      <c r="A21" s="20">
        <v>0.1066</v>
      </c>
      <c r="B21" s="10">
        <v>0.0013</v>
      </c>
    </row>
    <row r="22" spans="1:2" ht="12.75">
      <c r="A22" s="9" t="s">
        <v>97</v>
      </c>
      <c r="B22" s="9"/>
    </row>
    <row r="23" spans="1:2" ht="12.75">
      <c r="A23" s="17">
        <v>6.0221476E+23</v>
      </c>
      <c r="B23" s="17"/>
    </row>
    <row r="24" ht="12.75"/>
    <row r="25" ht="12.75">
      <c r="A25" s="61" t="s">
        <v>103</v>
      </c>
    </row>
    <row r="26" ht="12.75">
      <c r="A26" s="19">
        <v>31556926</v>
      </c>
    </row>
    <row r="27" ht="12.75">
      <c r="C27" s="1"/>
    </row>
    <row r="28" s="53" customFormat="1" ht="12.75"/>
    <row r="29" spans="9:11" ht="12.75">
      <c r="I29" s="23"/>
      <c r="K29" s="23"/>
    </row>
    <row r="30" spans="9:11" ht="12.75">
      <c r="I30" s="23"/>
      <c r="K30" s="23"/>
    </row>
    <row r="31" spans="9:11" ht="12.75">
      <c r="I31" s="23"/>
      <c r="K31" s="23"/>
    </row>
    <row r="32" ht="12.75">
      <c r="G32" s="43"/>
    </row>
    <row r="33" ht="12.75"/>
    <row r="34" ht="12.75"/>
    <row r="35" spans="5:6" ht="12.75">
      <c r="E35" s="1"/>
      <c r="F35" s="1"/>
    </row>
    <row r="36" spans="5:6" ht="12.75">
      <c r="E36" s="1"/>
      <c r="F36" s="1"/>
    </row>
    <row r="37" spans="5:6" ht="12.75">
      <c r="E37" s="1"/>
      <c r="F37" s="1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E9A90-D8DB-470D-96BD-4C20FA76F431}">
  <dimension ref="A1:G19"/>
  <sheetViews>
    <sheetView showGridLines="0" workbookViewId="0" topLeftCell="B1"/>
  </sheetViews>
  <sheetFormatPr defaultColWidth="11.421875" defaultRowHeight="15"/>
  <cols>
    <col min="1" max="2" width="11.421875" style="10" customWidth="1"/>
    <col min="3" max="3" width="12.421875" style="10" customWidth="1"/>
    <col min="4" max="16384" width="11.421875" style="10" customWidth="1"/>
  </cols>
  <sheetData>
    <row r="1" ht="18">
      <c r="A1" s="59" t="s">
        <v>71</v>
      </c>
    </row>
    <row r="3" spans="1:6" s="9" customFormat="1" ht="24">
      <c r="A3" s="53" t="s">
        <v>72</v>
      </c>
      <c r="B3" s="4" t="s">
        <v>73</v>
      </c>
      <c r="C3" s="4" t="s">
        <v>74</v>
      </c>
      <c r="D3" s="4" t="s">
        <v>75</v>
      </c>
      <c r="E3" s="4" t="s">
        <v>13</v>
      </c>
      <c r="F3" s="4" t="s">
        <v>14</v>
      </c>
    </row>
    <row r="4" spans="1:6" ht="15">
      <c r="A4" s="11" t="s">
        <v>76</v>
      </c>
      <c r="B4" s="12">
        <v>28000</v>
      </c>
      <c r="C4" s="11">
        <v>168.63</v>
      </c>
      <c r="D4" s="12">
        <f aca="true" t="shared" si="0" ref="D4:D16">B4/$A$19</f>
        <v>466.6666666666667</v>
      </c>
      <c r="E4" s="12">
        <f>$D$4-D4</f>
        <v>0</v>
      </c>
      <c r="F4" s="13">
        <f>E4/$D$4</f>
        <v>0</v>
      </c>
    </row>
    <row r="5" spans="1:6" ht="15">
      <c r="A5" s="1">
        <v>1</v>
      </c>
      <c r="B5" s="14">
        <v>27610</v>
      </c>
      <c r="C5" s="1">
        <v>167.29</v>
      </c>
      <c r="D5" s="14">
        <f t="shared" si="0"/>
        <v>460.1666666666667</v>
      </c>
      <c r="E5" s="14">
        <f aca="true" t="shared" si="1" ref="E5:E16">$D$4-D5</f>
        <v>6.5</v>
      </c>
      <c r="F5" s="8">
        <f aca="true" t="shared" si="2" ref="F5:F16">E5/$D$4</f>
        <v>0.013928571428571427</v>
      </c>
    </row>
    <row r="6" spans="1:6" ht="15">
      <c r="A6" s="1">
        <v>2</v>
      </c>
      <c r="B6" s="14">
        <v>27650</v>
      </c>
      <c r="C6" s="1">
        <v>167.25</v>
      </c>
      <c r="D6" s="14">
        <f t="shared" si="0"/>
        <v>460.8333333333333</v>
      </c>
      <c r="E6" s="14">
        <f t="shared" si="1"/>
        <v>5.833333333333371</v>
      </c>
      <c r="F6" s="8">
        <f t="shared" si="2"/>
        <v>0.01250000000000008</v>
      </c>
    </row>
    <row r="7" spans="1:6" ht="15">
      <c r="A7" s="1">
        <v>3</v>
      </c>
      <c r="B7" s="14">
        <v>27830</v>
      </c>
      <c r="C7" s="1">
        <v>167.85</v>
      </c>
      <c r="D7" s="14">
        <f t="shared" si="0"/>
        <v>463.8333333333333</v>
      </c>
      <c r="E7" s="14">
        <f t="shared" si="1"/>
        <v>2.8333333333333712</v>
      </c>
      <c r="F7" s="8">
        <f t="shared" si="2"/>
        <v>0.006071428571428652</v>
      </c>
    </row>
    <row r="8" spans="1:6" ht="15">
      <c r="A8" s="1">
        <v>4</v>
      </c>
      <c r="B8" s="14">
        <v>27590</v>
      </c>
      <c r="C8" s="1">
        <v>167.26</v>
      </c>
      <c r="D8" s="14">
        <f t="shared" si="0"/>
        <v>459.8333333333333</v>
      </c>
      <c r="E8" s="14">
        <f t="shared" si="1"/>
        <v>6.833333333333371</v>
      </c>
      <c r="F8" s="8">
        <f t="shared" si="2"/>
        <v>0.014642857142857223</v>
      </c>
    </row>
    <row r="9" spans="1:6" ht="15">
      <c r="A9" s="1">
        <v>5</v>
      </c>
      <c r="B9" s="14">
        <v>27620</v>
      </c>
      <c r="C9" s="1">
        <v>167.49</v>
      </c>
      <c r="D9" s="14">
        <f t="shared" si="0"/>
        <v>460.3333333333333</v>
      </c>
      <c r="E9" s="14">
        <f t="shared" si="1"/>
        <v>6.333333333333371</v>
      </c>
      <c r="F9" s="8">
        <f t="shared" si="2"/>
        <v>0.013571428571428653</v>
      </c>
    </row>
    <row r="10" spans="1:6" ht="15">
      <c r="A10" s="1">
        <v>6</v>
      </c>
      <c r="B10" s="14">
        <v>27160</v>
      </c>
      <c r="C10" s="1">
        <v>165.86</v>
      </c>
      <c r="D10" s="14">
        <f t="shared" si="0"/>
        <v>452.6666666666667</v>
      </c>
      <c r="E10" s="14">
        <f t="shared" si="1"/>
        <v>14</v>
      </c>
      <c r="F10" s="8">
        <f t="shared" si="2"/>
        <v>0.03</v>
      </c>
    </row>
    <row r="11" spans="1:6" ht="15">
      <c r="A11" s="1">
        <v>7</v>
      </c>
      <c r="B11" s="14">
        <v>26960</v>
      </c>
      <c r="C11" s="1">
        <v>165.22</v>
      </c>
      <c r="D11" s="14">
        <f t="shared" si="0"/>
        <v>449.3333333333333</v>
      </c>
      <c r="E11" s="14">
        <f t="shared" si="1"/>
        <v>17.33333333333337</v>
      </c>
      <c r="F11" s="8">
        <f t="shared" si="2"/>
        <v>0.03714285714285722</v>
      </c>
    </row>
    <row r="12" spans="1:6" ht="15">
      <c r="A12" s="1">
        <v>12</v>
      </c>
      <c r="B12" s="14">
        <v>27770</v>
      </c>
      <c r="C12" s="1">
        <v>167.87</v>
      </c>
      <c r="D12" s="14">
        <f t="shared" si="0"/>
        <v>462.8333333333333</v>
      </c>
      <c r="E12" s="14">
        <f t="shared" si="1"/>
        <v>3.8333333333333712</v>
      </c>
      <c r="F12" s="8">
        <f t="shared" si="2"/>
        <v>0.008214285714285795</v>
      </c>
    </row>
    <row r="13" spans="1:6" ht="15">
      <c r="A13" s="1">
        <v>13</v>
      </c>
      <c r="B13" s="14">
        <v>27390</v>
      </c>
      <c r="C13" s="1">
        <v>166.62</v>
      </c>
      <c r="D13" s="14">
        <f t="shared" si="0"/>
        <v>456.5</v>
      </c>
      <c r="E13" s="14">
        <f t="shared" si="1"/>
        <v>10.166666666666686</v>
      </c>
      <c r="F13" s="8">
        <f t="shared" si="2"/>
        <v>0.021785714285714325</v>
      </c>
    </row>
    <row r="14" spans="1:7" ht="15">
      <c r="A14" s="1">
        <v>14</v>
      </c>
      <c r="B14" s="14">
        <v>26950</v>
      </c>
      <c r="C14" s="1">
        <v>165.49</v>
      </c>
      <c r="D14" s="14">
        <f t="shared" si="0"/>
        <v>449.1666666666667</v>
      </c>
      <c r="E14" s="14">
        <f t="shared" si="1"/>
        <v>17.5</v>
      </c>
      <c r="F14" s="66">
        <f t="shared" si="2"/>
        <v>0.0375</v>
      </c>
      <c r="G14" s="10" t="s">
        <v>105</v>
      </c>
    </row>
    <row r="15" spans="1:6" ht="15">
      <c r="A15" s="1">
        <v>15</v>
      </c>
      <c r="B15" s="14">
        <v>27530</v>
      </c>
      <c r="C15" s="1">
        <v>166.96</v>
      </c>
      <c r="D15" s="14">
        <f t="shared" si="0"/>
        <v>458.8333333333333</v>
      </c>
      <c r="E15" s="14">
        <f t="shared" si="1"/>
        <v>7.833333333333371</v>
      </c>
      <c r="F15" s="8">
        <f t="shared" si="2"/>
        <v>0.016785714285714366</v>
      </c>
    </row>
    <row r="16" spans="1:6" ht="15">
      <c r="A16" s="1">
        <v>16</v>
      </c>
      <c r="B16" s="14">
        <v>27660</v>
      </c>
      <c r="C16" s="1">
        <v>167.64</v>
      </c>
      <c r="D16" s="14">
        <f t="shared" si="0"/>
        <v>461</v>
      </c>
      <c r="E16" s="14">
        <f t="shared" si="1"/>
        <v>5.666666666666686</v>
      </c>
      <c r="F16" s="8">
        <f t="shared" si="2"/>
        <v>0.012142857142857183</v>
      </c>
    </row>
    <row r="18" ht="15">
      <c r="A18" s="10" t="s">
        <v>70</v>
      </c>
    </row>
    <row r="19" spans="1:2" ht="15">
      <c r="A19" s="10">
        <v>60</v>
      </c>
      <c r="B19" s="10" t="s">
        <v>12</v>
      </c>
    </row>
  </sheetData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BC863-2BF6-4D01-8605-D0F847C745E3}">
  <dimension ref="A1:O34"/>
  <sheetViews>
    <sheetView showGridLines="0" workbookViewId="0" topLeftCell="D1">
      <selection activeCell="A1" sqref="A1:A2"/>
    </sheetView>
  </sheetViews>
  <sheetFormatPr defaultColWidth="11.57421875" defaultRowHeight="15"/>
  <cols>
    <col min="1" max="1" width="11.57421875" style="25" customWidth="1"/>
    <col min="2" max="2" width="20.140625" style="25" customWidth="1"/>
    <col min="3" max="3" width="18.7109375" style="25" customWidth="1"/>
    <col min="4" max="7" width="11.57421875" style="25" customWidth="1"/>
    <col min="8" max="8" width="12.57421875" style="25" bestFit="1" customWidth="1"/>
    <col min="9" max="9" width="13.57421875" style="25" bestFit="1" customWidth="1"/>
    <col min="10" max="10" width="12.57421875" style="25" customWidth="1"/>
    <col min="11" max="11" width="13.57421875" style="25" customWidth="1"/>
    <col min="12" max="12" width="12.8515625" style="25" customWidth="1"/>
    <col min="13" max="13" width="16.57421875" style="25" customWidth="1"/>
    <col min="14" max="14" width="15.7109375" style="25" customWidth="1"/>
    <col min="15" max="15" width="11.57421875" style="25" customWidth="1"/>
    <col min="16" max="16384" width="11.57421875" style="25" customWidth="1"/>
  </cols>
  <sheetData>
    <row r="1" spans="1:14" ht="14.45" customHeight="1">
      <c r="A1" s="76" t="s">
        <v>15</v>
      </c>
      <c r="B1" s="76" t="s">
        <v>16</v>
      </c>
      <c r="C1" s="76" t="s">
        <v>17</v>
      </c>
      <c r="D1" s="83" t="s">
        <v>32</v>
      </c>
      <c r="E1" s="83"/>
      <c r="F1" s="83" t="s">
        <v>77</v>
      </c>
      <c r="G1" s="83"/>
      <c r="H1" s="76" t="s">
        <v>18</v>
      </c>
      <c r="I1" s="76" t="s">
        <v>19</v>
      </c>
      <c r="J1" s="76" t="s">
        <v>20</v>
      </c>
      <c r="K1" s="79" t="s">
        <v>21</v>
      </c>
      <c r="L1" s="79" t="s">
        <v>22</v>
      </c>
      <c r="M1" s="76" t="s">
        <v>23</v>
      </c>
      <c r="N1" s="76" t="s">
        <v>24</v>
      </c>
    </row>
    <row r="2" spans="1:14" ht="24.6" customHeight="1" thickBot="1">
      <c r="A2" s="84"/>
      <c r="B2" s="84"/>
      <c r="C2" s="84"/>
      <c r="D2" s="27" t="s">
        <v>25</v>
      </c>
      <c r="E2" s="27" t="s">
        <v>26</v>
      </c>
      <c r="F2" s="27" t="s">
        <v>25</v>
      </c>
      <c r="G2" s="27" t="s">
        <v>26</v>
      </c>
      <c r="H2" s="76"/>
      <c r="I2" s="76"/>
      <c r="J2" s="76"/>
      <c r="K2" s="79"/>
      <c r="L2" s="79"/>
      <c r="M2" s="76"/>
      <c r="N2" s="76"/>
    </row>
    <row r="3" spans="1:15" ht="13.5" thickTop="1">
      <c r="A3" s="82" t="s">
        <v>27</v>
      </c>
      <c r="B3" s="82" t="s">
        <v>1</v>
      </c>
      <c r="C3" s="28" t="s">
        <v>28</v>
      </c>
      <c r="D3" s="35">
        <f>'Samples of Mushrooms'!O5</f>
        <v>8772.394857095018</v>
      </c>
      <c r="E3" s="35">
        <f>'Samples of Mushrooms'!O24</f>
        <v>1123.2308975508374</v>
      </c>
      <c r="F3" s="35">
        <f>'Samples of Mushrooms'!P5</f>
        <v>88.91889483702411</v>
      </c>
      <c r="G3" s="35">
        <f>'Samples of Mushrooms'!P24</f>
        <v>58.202450348194375</v>
      </c>
      <c r="H3" s="77">
        <f>D3/E3</f>
        <v>7.809965765919451</v>
      </c>
      <c r="I3" s="77">
        <f>D4/E4</f>
        <v>4.091609706084629</v>
      </c>
      <c r="J3" s="77">
        <f>H3/I3</f>
        <v>1.9087758429904147</v>
      </c>
      <c r="K3" s="77">
        <f>D3/D4</f>
        <v>2.1987448107278866</v>
      </c>
      <c r="L3" s="77">
        <f>E3/E4</f>
        <v>1.1519135779103258</v>
      </c>
      <c r="M3" s="74">
        <f>D3/D9</f>
        <v>21.563275462897774</v>
      </c>
      <c r="N3" s="74">
        <f>E3/E9</f>
        <v>1.042087203921599</v>
      </c>
      <c r="O3" s="69" t="s">
        <v>29</v>
      </c>
    </row>
    <row r="4" spans="1:15" ht="15">
      <c r="A4" s="81"/>
      <c r="B4" s="71"/>
      <c r="C4" s="29" t="s">
        <v>30</v>
      </c>
      <c r="D4" s="33">
        <f>'Samples of Mushrooms'!O7</f>
        <v>3989.7285097814274</v>
      </c>
      <c r="E4" s="33">
        <f>'Samples of Mushrooms'!O26</f>
        <v>975.0999719861612</v>
      </c>
      <c r="F4" s="33">
        <f>'Samples of Mushrooms'!P7</f>
        <v>66.80284041036754</v>
      </c>
      <c r="G4" s="33">
        <f>'Samples of Mushrooms'!P26</f>
        <v>75.85822040598191</v>
      </c>
      <c r="H4" s="78"/>
      <c r="I4" s="78"/>
      <c r="J4" s="78"/>
      <c r="K4" s="78"/>
      <c r="L4" s="78"/>
      <c r="M4" s="75"/>
      <c r="N4" s="75"/>
      <c r="O4" s="70"/>
    </row>
    <row r="5" spans="1:15" ht="15">
      <c r="A5" s="81"/>
      <c r="B5" s="69" t="s">
        <v>4</v>
      </c>
      <c r="C5" s="30" t="s">
        <v>28</v>
      </c>
      <c r="D5" s="32">
        <f>'Samples of Mushrooms'!O10</f>
        <v>11807.527091815342</v>
      </c>
      <c r="E5" s="32">
        <f>'Samples of Mushrooms'!O33</f>
        <v>1252.0156925672234</v>
      </c>
      <c r="F5" s="32">
        <f>'Samples of Mushrooms'!P10</f>
        <v>155.99258250438436</v>
      </c>
      <c r="G5" s="32">
        <f>'Samples of Mushrooms'!P33</f>
        <v>157.1056469361302</v>
      </c>
      <c r="H5" s="77">
        <f>D5/E5</f>
        <v>9.43081397614461</v>
      </c>
      <c r="I5" s="77">
        <f>D6/E6</f>
        <v>10.258781320676027</v>
      </c>
      <c r="J5" s="77">
        <f aca="true" t="shared" si="0" ref="J5">H5/I5</f>
        <v>0.9192918419205707</v>
      </c>
      <c r="K5" s="77">
        <f>D5/D6</f>
        <v>1.1320481034659582</v>
      </c>
      <c r="L5" s="77">
        <f>E5/E6</f>
        <v>1.231434950081685</v>
      </c>
      <c r="M5" s="74">
        <f>D5/D11</f>
        <v>27.541133717234768</v>
      </c>
      <c r="N5" s="74">
        <f>E5/E11</f>
        <v>1.2460330573844782</v>
      </c>
      <c r="O5" s="70"/>
    </row>
    <row r="6" spans="1:15" ht="15">
      <c r="A6" s="81"/>
      <c r="B6" s="71"/>
      <c r="C6" s="29" t="s">
        <v>30</v>
      </c>
      <c r="D6" s="33">
        <f>'Samples of Mushrooms'!O11</f>
        <v>10430.234418188225</v>
      </c>
      <c r="E6" s="33">
        <f>'Samples of Mushrooms'!O34</f>
        <v>1016.7128133598719</v>
      </c>
      <c r="F6" s="33">
        <f>'Samples of Mushrooms'!P11</f>
        <v>147.53373552411853</v>
      </c>
      <c r="G6" s="33">
        <f>'Samples of Mushrooms'!P34</f>
        <v>74.52465847467096</v>
      </c>
      <c r="H6" s="78"/>
      <c r="I6" s="78"/>
      <c r="J6" s="78"/>
      <c r="K6" s="78"/>
      <c r="L6" s="78"/>
      <c r="M6" s="75"/>
      <c r="N6" s="75"/>
      <c r="O6" s="70"/>
    </row>
    <row r="7" spans="1:15" ht="15">
      <c r="A7" s="81"/>
      <c r="B7" s="81" t="s">
        <v>5</v>
      </c>
      <c r="C7" s="26" t="s">
        <v>28</v>
      </c>
      <c r="D7" s="31">
        <f>'Samples of Mushrooms'!O13</f>
        <v>217.0358885194503</v>
      </c>
      <c r="E7" s="31">
        <f>'Samples of Mushrooms'!O36</f>
        <v>1717.2445203450288</v>
      </c>
      <c r="F7" s="31">
        <f>'Samples of Mushrooms'!P13</f>
        <v>6.171384857805687</v>
      </c>
      <c r="G7" s="31">
        <f>'Samples of Mushrooms'!P36</f>
        <v>81.67336484725853</v>
      </c>
      <c r="H7" s="80">
        <f>D7/E7</f>
        <v>0.1263861296094533</v>
      </c>
      <c r="I7" s="80">
        <f>D8/E8</f>
        <v>0.0661723780036953</v>
      </c>
      <c r="J7" s="77">
        <f>H7/I7</f>
        <v>1.9099529656074241</v>
      </c>
      <c r="K7" s="77">
        <f>D7/D8</f>
        <v>2.129077282806428</v>
      </c>
      <c r="L7" s="77">
        <f aca="true" t="shared" si="1" ref="L7">E7/E8</f>
        <v>1.114727598608333</v>
      </c>
      <c r="M7" s="74">
        <f>D7/D13</f>
        <v>3.4568417350367118</v>
      </c>
      <c r="N7" s="74">
        <f>E7/E13</f>
        <v>1.0177800300125726</v>
      </c>
      <c r="O7" s="70"/>
    </row>
    <row r="8" spans="1:15" ht="15">
      <c r="A8" s="71"/>
      <c r="B8" s="71"/>
      <c r="C8" s="29" t="s">
        <v>30</v>
      </c>
      <c r="D8" s="33">
        <f>'Samples of Mushrooms'!O14</f>
        <v>101.93894334984684</v>
      </c>
      <c r="E8" s="33">
        <f>'Samples of Mushrooms'!O37</f>
        <v>1540.5059697893012</v>
      </c>
      <c r="F8" s="33">
        <f>'Samples of Mushrooms'!P14</f>
        <v>3.6620186803234005</v>
      </c>
      <c r="G8" s="33">
        <f>'Samples of Mushrooms'!P37</f>
        <v>62.62048517255529</v>
      </c>
      <c r="H8" s="80"/>
      <c r="I8" s="80"/>
      <c r="J8" s="78"/>
      <c r="K8" s="78"/>
      <c r="L8" s="78"/>
      <c r="M8" s="75"/>
      <c r="N8" s="75"/>
      <c r="O8" s="71"/>
    </row>
    <row r="9" spans="1:15" ht="15">
      <c r="A9" s="81" t="s">
        <v>2</v>
      </c>
      <c r="B9" s="69" t="s">
        <v>1</v>
      </c>
      <c r="C9" s="30" t="s">
        <v>28</v>
      </c>
      <c r="D9" s="32">
        <f>'Samples of Mushrooms'!O6</f>
        <v>406.8210728091372</v>
      </c>
      <c r="E9" s="32">
        <f>'Samples of Mushrooms'!O25</f>
        <v>1077.8665099464588</v>
      </c>
      <c r="F9" s="32">
        <f>'Samples of Mushrooms'!P6</f>
        <v>6.834322134635912</v>
      </c>
      <c r="G9" s="32">
        <f>'Samples of Mushrooms'!P25</f>
        <v>46.06409822606772</v>
      </c>
      <c r="H9" s="77">
        <f>D9/E9</f>
        <v>0.3774317775485439</v>
      </c>
      <c r="I9" s="77">
        <f>D10/E10</f>
        <v>0.259802556058913</v>
      </c>
      <c r="J9" s="77">
        <f aca="true" t="shared" si="2" ref="J9">H9/I9</f>
        <v>1.4527639114642013</v>
      </c>
      <c r="K9" s="77">
        <f aca="true" t="shared" si="3" ref="K9">D9/D10</f>
        <v>1.6261972406430418</v>
      </c>
      <c r="L9" s="77">
        <f aca="true" t="shared" si="4" ref="L9">E9/E10</f>
        <v>1.1193816337329319</v>
      </c>
      <c r="M9" s="72">
        <f>D4/D10</f>
        <v>15.94825324244047</v>
      </c>
      <c r="N9" s="72">
        <f>E4/E10</f>
        <v>1.0126569381481423</v>
      </c>
      <c r="O9" s="69" t="s">
        <v>31</v>
      </c>
    </row>
    <row r="10" spans="1:15" ht="15">
      <c r="A10" s="81"/>
      <c r="B10" s="71"/>
      <c r="C10" s="29" t="s">
        <v>30</v>
      </c>
      <c r="D10" s="33">
        <f>'Samples of Mushrooms'!O4</f>
        <v>250.16711542830393</v>
      </c>
      <c r="E10" s="33">
        <f>'Samples of Mushrooms'!O23</f>
        <v>962.9124486811279</v>
      </c>
      <c r="F10" s="33">
        <f>'Samples of Mushrooms'!P4</f>
        <v>7.169245135939569</v>
      </c>
      <c r="G10" s="33">
        <f>'Samples of Mushrooms'!P23</f>
        <v>69.86486757688293</v>
      </c>
      <c r="H10" s="78"/>
      <c r="I10" s="78"/>
      <c r="J10" s="78"/>
      <c r="K10" s="78"/>
      <c r="L10" s="78"/>
      <c r="M10" s="73"/>
      <c r="N10" s="73"/>
      <c r="O10" s="70"/>
    </row>
    <row r="11" spans="1:15" ht="15">
      <c r="A11" s="81"/>
      <c r="B11" s="69" t="s">
        <v>4</v>
      </c>
      <c r="C11" s="30" t="s">
        <v>28</v>
      </c>
      <c r="D11" s="32">
        <f>'Samples of Mushrooms'!O8</f>
        <v>428.72334933788125</v>
      </c>
      <c r="E11" s="32">
        <f>'Samples of Mushrooms'!O31</f>
        <v>1004.8013454757798</v>
      </c>
      <c r="F11" s="32">
        <f>'Samples of Mushrooms'!P8</f>
        <v>9.032058935946814</v>
      </c>
      <c r="G11" s="32">
        <f>'Samples of Mushrooms'!P31</f>
        <v>62.400637049476245</v>
      </c>
      <c r="H11" s="77">
        <f>D11/E11</f>
        <v>0.4266747365220515</v>
      </c>
      <c r="I11" s="77">
        <f>D12/E12</f>
        <v>0.5052073883164633</v>
      </c>
      <c r="J11" s="77">
        <f aca="true" t="shared" si="5" ref="J11">H11/I11</f>
        <v>0.8445536355750627</v>
      </c>
      <c r="K11" s="77">
        <f aca="true" t="shared" si="6" ref="K11">D11/D12</f>
        <v>1.0749698368253668</v>
      </c>
      <c r="L11" s="77">
        <f aca="true" t="shared" si="7" ref="L11">E11/E12</f>
        <v>1.2728260131085836</v>
      </c>
      <c r="M11" s="72">
        <f>D6/D12</f>
        <v>26.152499993028563</v>
      </c>
      <c r="N11" s="72">
        <f>E6/E12</f>
        <v>1.287914792841458</v>
      </c>
      <c r="O11" s="70"/>
    </row>
    <row r="12" spans="1:15" ht="15">
      <c r="A12" s="81"/>
      <c r="B12" s="71"/>
      <c r="C12" s="29" t="s">
        <v>30</v>
      </c>
      <c r="D12" s="33">
        <f>'Samples of Mushrooms'!O9</f>
        <v>398.8236084874715</v>
      </c>
      <c r="E12" s="33">
        <f>'Samples of Mushrooms'!O32</f>
        <v>789.42552644865</v>
      </c>
      <c r="F12" s="33">
        <f>'Samples of Mushrooms'!P9</f>
        <v>9.656562211905213</v>
      </c>
      <c r="G12" s="33">
        <f>'Samples of Mushrooms'!P32</f>
        <v>66.75005840596879</v>
      </c>
      <c r="H12" s="78"/>
      <c r="I12" s="78"/>
      <c r="J12" s="78"/>
      <c r="K12" s="78"/>
      <c r="L12" s="78"/>
      <c r="M12" s="73"/>
      <c r="N12" s="73"/>
      <c r="O12" s="70"/>
    </row>
    <row r="13" spans="1:15" ht="15">
      <c r="A13" s="81"/>
      <c r="B13" s="81" t="s">
        <v>5</v>
      </c>
      <c r="C13" s="26" t="s">
        <v>28</v>
      </c>
      <c r="D13" s="31">
        <f>'Samples of Mushrooms'!O15</f>
        <v>62.78444463328761</v>
      </c>
      <c r="E13" s="31">
        <f>'Samples of Mushrooms'!O38</f>
        <v>1687.245249176107</v>
      </c>
      <c r="F13" s="31">
        <f>'Samples of Mushrooms'!P15</f>
        <v>1.763801791585696</v>
      </c>
      <c r="G13" s="31">
        <f>'Samples of Mushrooms'!P38</f>
        <v>43.98692384518783</v>
      </c>
      <c r="H13" s="77">
        <f>D13/E13</f>
        <v>0.03721121435306792</v>
      </c>
      <c r="I13" s="77">
        <f>D14/E14</f>
        <v>0.050222994929165946</v>
      </c>
      <c r="J13" s="77">
        <f aca="true" t="shared" si="8" ref="J13">H13/I13</f>
        <v>0.740919859629046</v>
      </c>
      <c r="K13" s="77">
        <f aca="true" t="shared" si="9" ref="K13">D13/D14</f>
        <v>0.9623983013313501</v>
      </c>
      <c r="L13" s="77">
        <f aca="true" t="shared" si="10" ref="L13">E13/E14</f>
        <v>1.298923613429921</v>
      </c>
      <c r="M13" s="72">
        <f>D8/D14</f>
        <v>1.562582364030193</v>
      </c>
      <c r="N13" s="72">
        <f>E8/E14</f>
        <v>1.185956565452583</v>
      </c>
      <c r="O13" s="70"/>
    </row>
    <row r="14" spans="1:15" ht="15">
      <c r="A14" s="71"/>
      <c r="B14" s="71"/>
      <c r="C14" s="29" t="s">
        <v>30</v>
      </c>
      <c r="D14" s="33">
        <f>'Samples of Mushrooms'!O12</f>
        <v>65.23748488171029</v>
      </c>
      <c r="E14" s="33">
        <f>'Samples of Mushrooms'!O35</f>
        <v>1298.956483453857</v>
      </c>
      <c r="F14" s="33">
        <f>'Samples of Mushrooms'!P12</f>
        <v>1.9252521190364884</v>
      </c>
      <c r="G14" s="33">
        <f>'Samples of Mushrooms'!P35</f>
        <v>39.90495980375811</v>
      </c>
      <c r="H14" s="78"/>
      <c r="I14" s="78"/>
      <c r="J14" s="78"/>
      <c r="K14" s="78"/>
      <c r="L14" s="78"/>
      <c r="M14" s="73"/>
      <c r="N14" s="73"/>
      <c r="O14" s="71"/>
    </row>
    <row r="16" ht="12.75"/>
    <row r="17" ht="12.75"/>
    <row r="18" ht="12.75"/>
    <row r="19" spans="10:11" ht="12.75">
      <c r="J19" s="51" t="s">
        <v>18</v>
      </c>
      <c r="K19" s="51" t="s">
        <v>19</v>
      </c>
    </row>
    <row r="20" spans="4:11" ht="12.75">
      <c r="D20" s="34"/>
      <c r="J20" s="52">
        <v>0.03721121435306792</v>
      </c>
      <c r="K20" s="52">
        <v>0.050222994929165946</v>
      </c>
    </row>
    <row r="21" spans="4:11" ht="12.75">
      <c r="D21" s="34"/>
      <c r="J21" s="52">
        <v>0.4266747365220515</v>
      </c>
      <c r="K21" s="52">
        <v>0.5052073883164633</v>
      </c>
    </row>
    <row r="22" spans="4:11" ht="12.75">
      <c r="D22" s="34"/>
      <c r="J22" s="52">
        <v>9.43081397614461</v>
      </c>
      <c r="K22" s="52">
        <v>10.258781320676027</v>
      </c>
    </row>
    <row r="23" spans="4:11" ht="12.75">
      <c r="D23" s="34"/>
      <c r="J23" s="52">
        <v>0.3774317775485439</v>
      </c>
      <c r="K23" s="52">
        <v>0.259802556058913</v>
      </c>
    </row>
    <row r="24" spans="4:11" ht="12.75">
      <c r="D24" s="34"/>
      <c r="J24" s="52">
        <v>7.809965765919451</v>
      </c>
      <c r="K24" s="52">
        <v>4.091609706084629</v>
      </c>
    </row>
    <row r="25" spans="4:11" ht="12.75">
      <c r="D25" s="34"/>
      <c r="J25" s="52">
        <v>0.1263861296094533</v>
      </c>
      <c r="K25" s="52">
        <v>0.0661723780036953</v>
      </c>
    </row>
    <row r="26" ht="12.75">
      <c r="D26" s="34"/>
    </row>
    <row r="27" ht="12.75">
      <c r="D27" s="34"/>
    </row>
    <row r="28" spans="2:4" ht="12.75">
      <c r="B28" s="34"/>
      <c r="C28" s="34"/>
      <c r="D28" s="34"/>
    </row>
    <row r="29" spans="2:4" ht="12.75">
      <c r="B29" s="34"/>
      <c r="C29" s="34"/>
      <c r="D29" s="34"/>
    </row>
    <row r="30" spans="2:4" ht="12.75">
      <c r="B30" s="34"/>
      <c r="C30" s="34"/>
      <c r="D30" s="34"/>
    </row>
    <row r="31" spans="2:4" ht="12.75">
      <c r="B31" s="34"/>
      <c r="C31" s="34"/>
      <c r="D31" s="34"/>
    </row>
    <row r="32" spans="2:4" ht="12.75">
      <c r="B32" s="34"/>
      <c r="C32" s="34"/>
      <c r="D32" s="34"/>
    </row>
    <row r="33" spans="2:4" ht="12.75">
      <c r="B33" s="34"/>
      <c r="C33" s="34"/>
      <c r="D33" s="34"/>
    </row>
    <row r="34" spans="2:4" ht="12.75">
      <c r="B34" s="34"/>
      <c r="C34" s="34"/>
      <c r="D34" s="34"/>
    </row>
  </sheetData>
  <mergeCells count="64">
    <mergeCell ref="D1:E1"/>
    <mergeCell ref="A1:A2"/>
    <mergeCell ref="B1:B2"/>
    <mergeCell ref="C1:C2"/>
    <mergeCell ref="F1:G1"/>
    <mergeCell ref="B13:B14"/>
    <mergeCell ref="A3:A8"/>
    <mergeCell ref="A9:A14"/>
    <mergeCell ref="J3:J4"/>
    <mergeCell ref="J5:J6"/>
    <mergeCell ref="J7:J8"/>
    <mergeCell ref="J9:J10"/>
    <mergeCell ref="J11:J12"/>
    <mergeCell ref="B5:B6"/>
    <mergeCell ref="B7:B8"/>
    <mergeCell ref="B9:B10"/>
    <mergeCell ref="B11:B12"/>
    <mergeCell ref="B3:B4"/>
    <mergeCell ref="J13:J14"/>
    <mergeCell ref="H7:H8"/>
    <mergeCell ref="H9:H10"/>
    <mergeCell ref="J1:J2"/>
    <mergeCell ref="H1:H2"/>
    <mergeCell ref="I1:I2"/>
    <mergeCell ref="H3:H4"/>
    <mergeCell ref="H5:H6"/>
    <mergeCell ref="H11:H12"/>
    <mergeCell ref="H13:H14"/>
    <mergeCell ref="I3:I4"/>
    <mergeCell ref="I5:I6"/>
    <mergeCell ref="I7:I8"/>
    <mergeCell ref="I9:I10"/>
    <mergeCell ref="I11:I12"/>
    <mergeCell ref="I13:I14"/>
    <mergeCell ref="K13:K14"/>
    <mergeCell ref="L13:L14"/>
    <mergeCell ref="K5:K6"/>
    <mergeCell ref="L5:L6"/>
    <mergeCell ref="K7:K8"/>
    <mergeCell ref="L7:L8"/>
    <mergeCell ref="K9:K10"/>
    <mergeCell ref="L9:L10"/>
    <mergeCell ref="M1:M2"/>
    <mergeCell ref="N1:N2"/>
    <mergeCell ref="M3:M4"/>
    <mergeCell ref="N3:N4"/>
    <mergeCell ref="K11:K12"/>
    <mergeCell ref="L11:L12"/>
    <mergeCell ref="K1:K2"/>
    <mergeCell ref="L1:L2"/>
    <mergeCell ref="K3:K4"/>
    <mergeCell ref="L3:L4"/>
    <mergeCell ref="O3:O8"/>
    <mergeCell ref="O9:O14"/>
    <mergeCell ref="M11:M12"/>
    <mergeCell ref="N11:N12"/>
    <mergeCell ref="M13:M14"/>
    <mergeCell ref="N13:N14"/>
    <mergeCell ref="M5:M6"/>
    <mergeCell ref="N5:N6"/>
    <mergeCell ref="M7:M8"/>
    <mergeCell ref="N7:N8"/>
    <mergeCell ref="M9:M10"/>
    <mergeCell ref="N9:N1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D4E60-F09A-4DF2-93A1-93C91BF47E06}">
  <dimension ref="A1:I47"/>
  <sheetViews>
    <sheetView showGridLines="0" zoomScale="90" zoomScaleNormal="90" workbookViewId="0" topLeftCell="B1"/>
  </sheetViews>
  <sheetFormatPr defaultColWidth="11.57421875" defaultRowHeight="15"/>
  <cols>
    <col min="1" max="1" width="11.57421875" style="10" customWidth="1"/>
    <col min="2" max="2" width="19.7109375" style="10" customWidth="1"/>
    <col min="3" max="3" width="19.8515625" style="10" customWidth="1"/>
    <col min="4" max="5" width="14.28125" style="10" customWidth="1"/>
    <col min="6" max="6" width="18.421875" style="10" customWidth="1"/>
    <col min="7" max="7" width="13.140625" style="10" customWidth="1"/>
    <col min="8" max="8" width="18.28125" style="10" customWidth="1"/>
    <col min="9" max="9" width="13.7109375" style="10" customWidth="1"/>
    <col min="10" max="16384" width="11.57421875" style="10" customWidth="1"/>
  </cols>
  <sheetData>
    <row r="1" ht="22.5">
      <c r="A1" s="67" t="s">
        <v>45</v>
      </c>
    </row>
    <row r="2" spans="1:9" ht="15">
      <c r="A2" s="76" t="s">
        <v>15</v>
      </c>
      <c r="B2" s="76" t="s">
        <v>16</v>
      </c>
      <c r="C2" s="76" t="s">
        <v>17</v>
      </c>
      <c r="D2" s="87" t="s">
        <v>32</v>
      </c>
      <c r="E2" s="87" t="s">
        <v>33</v>
      </c>
      <c r="F2" s="92" t="s">
        <v>21</v>
      </c>
      <c r="G2" s="87" t="s">
        <v>34</v>
      </c>
      <c r="H2" s="87" t="s">
        <v>23</v>
      </c>
      <c r="I2" s="87" t="s">
        <v>34</v>
      </c>
    </row>
    <row r="3" spans="1:9" ht="13.5" thickBot="1">
      <c r="A3" s="84"/>
      <c r="B3" s="84"/>
      <c r="C3" s="84"/>
      <c r="D3" s="84"/>
      <c r="E3" s="84"/>
      <c r="F3" s="93"/>
      <c r="G3" s="84"/>
      <c r="H3" s="84"/>
      <c r="I3" s="84"/>
    </row>
    <row r="4" spans="1:9" ht="13.5" thickTop="1">
      <c r="A4" s="88" t="s">
        <v>36</v>
      </c>
      <c r="B4" s="82" t="s">
        <v>1</v>
      </c>
      <c r="C4" s="38" t="s">
        <v>28</v>
      </c>
      <c r="D4" s="35">
        <v>8772.394857095018</v>
      </c>
      <c r="E4" s="35">
        <v>88.9188948370241</v>
      </c>
      <c r="F4" s="94">
        <f>D4/D5</f>
        <v>2.1987448107278866</v>
      </c>
      <c r="G4" s="89">
        <f>SQRT((E4/D4)^2+(E5/D5)^2)*F4</f>
        <v>0.043035596491659216</v>
      </c>
      <c r="H4" s="101">
        <f>D4/D10</f>
        <v>21.563275462897774</v>
      </c>
      <c r="I4" s="96">
        <f>SQRT((E4/D4)^2+(E10/D10)^2)*H4</f>
        <v>0.42308027486554656</v>
      </c>
    </row>
    <row r="5" spans="1:9" ht="15">
      <c r="A5" s="85"/>
      <c r="B5" s="71"/>
      <c r="C5" s="37" t="s">
        <v>30</v>
      </c>
      <c r="D5" s="40">
        <v>3989.7285097814274</v>
      </c>
      <c r="E5" s="40">
        <v>66.80284041036754</v>
      </c>
      <c r="F5" s="95"/>
      <c r="G5" s="89"/>
      <c r="H5" s="102"/>
      <c r="I5" s="96"/>
    </row>
    <row r="6" spans="1:9" ht="15">
      <c r="A6" s="85"/>
      <c r="B6" s="69" t="s">
        <v>4</v>
      </c>
      <c r="C6" s="41" t="s">
        <v>28</v>
      </c>
      <c r="D6" s="39">
        <v>11807.527091815342</v>
      </c>
      <c r="E6" s="39">
        <v>155.99258250438436</v>
      </c>
      <c r="F6" s="94">
        <f aca="true" t="shared" si="0" ref="F6">D6/D7</f>
        <v>1.1320481034659609</v>
      </c>
      <c r="G6" s="90">
        <f>SQRT((E6/D6)^2+(E7/D7)^2)*F6</f>
        <v>0.02191072565739417</v>
      </c>
      <c r="H6" s="103">
        <f>D6/D12</f>
        <v>27.541133717234768</v>
      </c>
      <c r="I6" s="97">
        <f>SQRT((E6/D6)^2+(E12/D12)^2)*H6</f>
        <v>0.6848670141797762</v>
      </c>
    </row>
    <row r="7" spans="1:9" ht="15">
      <c r="A7" s="85"/>
      <c r="B7" s="71"/>
      <c r="C7" s="37" t="s">
        <v>30</v>
      </c>
      <c r="D7" s="40">
        <v>10430.2344181882</v>
      </c>
      <c r="E7" s="40">
        <v>147.53373552411853</v>
      </c>
      <c r="F7" s="95"/>
      <c r="G7" s="91"/>
      <c r="H7" s="102"/>
      <c r="I7" s="98"/>
    </row>
    <row r="8" spans="1:9" ht="15">
      <c r="A8" s="85"/>
      <c r="B8" s="81" t="s">
        <v>5</v>
      </c>
      <c r="C8" s="36" t="s">
        <v>28</v>
      </c>
      <c r="D8" s="42">
        <v>217.0358885194503</v>
      </c>
      <c r="E8" s="42">
        <v>6.17138485780569</v>
      </c>
      <c r="F8" s="94">
        <f aca="true" t="shared" si="1" ref="F8">D8/D9</f>
        <v>2.129077282806428</v>
      </c>
      <c r="G8" s="90">
        <f>SQRT((E8/D8)^2+(E9/D9)^2)*F8</f>
        <v>0.0975444989973148</v>
      </c>
      <c r="H8" s="103">
        <f>D8/D14</f>
        <v>3.4568417350367118</v>
      </c>
      <c r="I8" s="96">
        <f>SQRT((E8/D8)^2+(E14/D14)^2)*H8</f>
        <v>0.1381766884946234</v>
      </c>
    </row>
    <row r="9" spans="1:9" ht="15">
      <c r="A9" s="86"/>
      <c r="B9" s="71"/>
      <c r="C9" s="37" t="s">
        <v>30</v>
      </c>
      <c r="D9" s="40">
        <v>101.93894334984684</v>
      </c>
      <c r="E9" s="40">
        <v>3.6620186803234005</v>
      </c>
      <c r="F9" s="95"/>
      <c r="G9" s="91"/>
      <c r="H9" s="102"/>
      <c r="I9" s="96"/>
    </row>
    <row r="10" spans="1:9" ht="15">
      <c r="A10" s="85" t="s">
        <v>37</v>
      </c>
      <c r="B10" s="69" t="s">
        <v>1</v>
      </c>
      <c r="C10" s="41" t="s">
        <v>28</v>
      </c>
      <c r="D10" s="39">
        <v>406.8210728091372</v>
      </c>
      <c r="E10" s="39">
        <v>6.834322134635912</v>
      </c>
      <c r="F10" s="94">
        <f aca="true" t="shared" si="2" ref="F10">D10/D11</f>
        <v>1.6261972406430418</v>
      </c>
      <c r="G10" s="90">
        <f aca="true" t="shared" si="3" ref="G10">SQRT((E10/D10)^2+(E11/D11)^2)*F10</f>
        <v>0.05402031456188039</v>
      </c>
      <c r="H10" s="72">
        <f>D5/D11</f>
        <v>15.94825324244047</v>
      </c>
      <c r="I10" s="99">
        <f>SQRT((E5/D5)^2+(E11/D11)^2)*H10</f>
        <v>0.5293336858823117</v>
      </c>
    </row>
    <row r="11" spans="1:9" ht="15">
      <c r="A11" s="85"/>
      <c r="B11" s="71"/>
      <c r="C11" s="37" t="s">
        <v>30</v>
      </c>
      <c r="D11" s="40">
        <v>250.16711542830393</v>
      </c>
      <c r="E11" s="40">
        <v>7.169245135939569</v>
      </c>
      <c r="F11" s="95"/>
      <c r="G11" s="91"/>
      <c r="H11" s="73"/>
      <c r="I11" s="100"/>
    </row>
    <row r="12" spans="1:9" ht="15">
      <c r="A12" s="85"/>
      <c r="B12" s="69" t="s">
        <v>4</v>
      </c>
      <c r="C12" s="41" t="s">
        <v>28</v>
      </c>
      <c r="D12" s="39">
        <v>428.72334933788125</v>
      </c>
      <c r="E12" s="39">
        <v>9.032058935946814</v>
      </c>
      <c r="F12" s="94">
        <f aca="true" t="shared" si="4" ref="F12">D12/D13</f>
        <v>1.0749698368253668</v>
      </c>
      <c r="G12" s="90">
        <f>SQRT((E12/D12)^2+(E13/D13)^2)*F12</f>
        <v>0.034501061814778855</v>
      </c>
      <c r="H12" s="72">
        <f>D7/D13</f>
        <v>26.1524999930285</v>
      </c>
      <c r="I12" s="99">
        <f>SQRT((E7/D7)^2+(E13/D13)^2)*H12</f>
        <v>0.7333556825422303</v>
      </c>
    </row>
    <row r="13" spans="1:9" ht="15">
      <c r="A13" s="85"/>
      <c r="B13" s="71"/>
      <c r="C13" s="37" t="s">
        <v>30</v>
      </c>
      <c r="D13" s="40">
        <v>398.8236084874715</v>
      </c>
      <c r="E13" s="40">
        <v>9.656562211905213</v>
      </c>
      <c r="F13" s="95"/>
      <c r="G13" s="91"/>
      <c r="H13" s="73"/>
      <c r="I13" s="100"/>
    </row>
    <row r="14" spans="1:9" ht="15">
      <c r="A14" s="85"/>
      <c r="B14" s="81" t="s">
        <v>5</v>
      </c>
      <c r="C14" s="36" t="s">
        <v>28</v>
      </c>
      <c r="D14" s="42">
        <v>62.78444463328761</v>
      </c>
      <c r="E14" s="42">
        <v>1.763801791585696</v>
      </c>
      <c r="F14" s="94">
        <f>D14/D15</f>
        <v>0.9623983013313501</v>
      </c>
      <c r="G14" s="90">
        <f aca="true" t="shared" si="5" ref="G14">SQRT((E14/D14)^2+(E15/D15)^2)*F14</f>
        <v>0.039212744838925014</v>
      </c>
      <c r="H14" s="72">
        <f>D9/D15</f>
        <v>1.562582364030193</v>
      </c>
      <c r="I14" s="99">
        <f>SQRT((E9/D9)^2+(E15/D15)^2)*H14</f>
        <v>0.07264636063831025</v>
      </c>
    </row>
    <row r="15" spans="1:9" ht="15">
      <c r="A15" s="86"/>
      <c r="B15" s="71"/>
      <c r="C15" s="37" t="s">
        <v>30</v>
      </c>
      <c r="D15" s="40">
        <v>65.23748488171029</v>
      </c>
      <c r="E15" s="40">
        <v>1.9252521190364884</v>
      </c>
      <c r="F15" s="95"/>
      <c r="G15" s="91"/>
      <c r="H15" s="73"/>
      <c r="I15" s="100"/>
    </row>
    <row r="16" spans="1:9" ht="15">
      <c r="A16" s="46"/>
      <c r="B16" s="47"/>
      <c r="C16" s="47"/>
      <c r="D16" s="48"/>
      <c r="E16" s="48"/>
      <c r="F16" s="45"/>
      <c r="G16" s="44"/>
      <c r="H16" s="49"/>
      <c r="I16" s="50"/>
    </row>
    <row r="17" ht="22.5">
      <c r="A17" s="67" t="s">
        <v>46</v>
      </c>
    </row>
    <row r="18" spans="1:9" ht="15">
      <c r="A18" s="76" t="s">
        <v>15</v>
      </c>
      <c r="B18" s="76" t="s">
        <v>16</v>
      </c>
      <c r="C18" s="76" t="s">
        <v>17</v>
      </c>
      <c r="D18" s="87" t="s">
        <v>32</v>
      </c>
      <c r="E18" s="87" t="s">
        <v>33</v>
      </c>
      <c r="F18" s="92" t="s">
        <v>22</v>
      </c>
      <c r="G18" s="87" t="s">
        <v>35</v>
      </c>
      <c r="H18" s="87" t="s">
        <v>24</v>
      </c>
      <c r="I18" s="87" t="s">
        <v>35</v>
      </c>
    </row>
    <row r="19" spans="1:9" ht="13.5" thickBot="1">
      <c r="A19" s="84"/>
      <c r="B19" s="84"/>
      <c r="C19" s="84"/>
      <c r="D19" s="84"/>
      <c r="E19" s="84"/>
      <c r="F19" s="93"/>
      <c r="G19" s="84"/>
      <c r="H19" s="84"/>
      <c r="I19" s="84"/>
    </row>
    <row r="20" spans="1:9" ht="13.5" thickTop="1">
      <c r="A20" s="88" t="s">
        <v>36</v>
      </c>
      <c r="B20" s="82" t="s">
        <v>1</v>
      </c>
      <c r="C20" s="38" t="s">
        <v>28</v>
      </c>
      <c r="D20" s="35">
        <v>1123.2308975508374</v>
      </c>
      <c r="E20" s="35">
        <v>58.202450348194375</v>
      </c>
      <c r="F20" s="94">
        <f>D20/D21</f>
        <v>1.1519135779103258</v>
      </c>
      <c r="G20" s="89">
        <f>SQRT((E20/D20)^2+(E21/D21)^2)*F20</f>
        <v>0.10767227607671472</v>
      </c>
      <c r="H20" s="101">
        <f>D20/D26</f>
        <v>1.042087203921599</v>
      </c>
      <c r="I20" s="96">
        <f>SQRT((E20/D20)^2+(E26/D26)^2)*H20</f>
        <v>0.06999381037122288</v>
      </c>
    </row>
    <row r="21" spans="1:9" ht="15">
      <c r="A21" s="85"/>
      <c r="B21" s="71"/>
      <c r="C21" s="37" t="s">
        <v>30</v>
      </c>
      <c r="D21" s="40">
        <v>975.0999719861612</v>
      </c>
      <c r="E21" s="40">
        <v>75.85822040598191</v>
      </c>
      <c r="F21" s="95"/>
      <c r="G21" s="89"/>
      <c r="H21" s="102"/>
      <c r="I21" s="96"/>
    </row>
    <row r="22" spans="1:9" ht="15">
      <c r="A22" s="85"/>
      <c r="B22" s="69" t="s">
        <v>4</v>
      </c>
      <c r="C22" s="41" t="s">
        <v>28</v>
      </c>
      <c r="D22" s="39">
        <v>1252.0156925672234</v>
      </c>
      <c r="E22" s="39">
        <v>157.1056469361302</v>
      </c>
      <c r="F22" s="94">
        <f aca="true" t="shared" si="6" ref="F22">D22/D23</f>
        <v>1.231434950081685</v>
      </c>
      <c r="G22" s="90">
        <f>SQRT((E22/D22)^2+(E23/D23)^2)*F22</f>
        <v>0.17895512008525644</v>
      </c>
      <c r="H22" s="103">
        <f>D22/D28</f>
        <v>1.2460330573844782</v>
      </c>
      <c r="I22" s="97">
        <f>SQRT((E22/D22)^2+(E28/D28)^2)*H22</f>
        <v>0.1744557125978457</v>
      </c>
    </row>
    <row r="23" spans="1:9" ht="15">
      <c r="A23" s="85"/>
      <c r="B23" s="71"/>
      <c r="C23" s="37" t="s">
        <v>30</v>
      </c>
      <c r="D23" s="40">
        <v>1016.7128133598719</v>
      </c>
      <c r="E23" s="40">
        <v>74.52465847467096</v>
      </c>
      <c r="F23" s="95"/>
      <c r="G23" s="91"/>
      <c r="H23" s="102"/>
      <c r="I23" s="98"/>
    </row>
    <row r="24" spans="1:9" ht="15">
      <c r="A24" s="85"/>
      <c r="B24" s="81" t="s">
        <v>5</v>
      </c>
      <c r="C24" s="36" t="s">
        <v>28</v>
      </c>
      <c r="D24" s="42">
        <v>1717.24452034503</v>
      </c>
      <c r="E24" s="42">
        <v>81.6733648472585</v>
      </c>
      <c r="F24" s="94">
        <f aca="true" t="shared" si="7" ref="F24">D24/D25</f>
        <v>1.1147275986083338</v>
      </c>
      <c r="G24" s="90">
        <f>SQRT((E24/D24)^2+(E25/D25)^2)*F24</f>
        <v>0.06974299521564531</v>
      </c>
      <c r="H24" s="103">
        <f>D24/D30</f>
        <v>1.0177800300125732</v>
      </c>
      <c r="I24" s="96">
        <f>SQRT((E24/D24)^2+(E30/D30)^2)*H24</f>
        <v>0.05520159126362335</v>
      </c>
    </row>
    <row r="25" spans="1:9" ht="15">
      <c r="A25" s="86"/>
      <c r="B25" s="71"/>
      <c r="C25" s="37" t="s">
        <v>30</v>
      </c>
      <c r="D25" s="40">
        <v>1540.5059697893012</v>
      </c>
      <c r="E25" s="40">
        <v>62.62048517255529</v>
      </c>
      <c r="F25" s="95"/>
      <c r="G25" s="91"/>
      <c r="H25" s="102"/>
      <c r="I25" s="96"/>
    </row>
    <row r="26" spans="1:9" ht="15">
      <c r="A26" s="85" t="s">
        <v>37</v>
      </c>
      <c r="B26" s="69" t="s">
        <v>1</v>
      </c>
      <c r="C26" s="41" t="s">
        <v>28</v>
      </c>
      <c r="D26" s="39">
        <v>1077.8665099464588</v>
      </c>
      <c r="E26" s="39">
        <v>46.06409822606772</v>
      </c>
      <c r="F26" s="94">
        <f aca="true" t="shared" si="8" ref="F26">D26/D27</f>
        <v>1.1193816337329319</v>
      </c>
      <c r="G26" s="90">
        <f aca="true" t="shared" si="9" ref="G26">SQRT((E26/D26)^2+(E27/D27)^2)*F26</f>
        <v>0.09425923721493405</v>
      </c>
      <c r="H26" s="72">
        <f>D21/D27</f>
        <v>1.0126569381481423</v>
      </c>
      <c r="I26" s="99">
        <f>SQRT((E21/D21)^2+(E27/D27)^2)*H26</f>
        <v>0.10772525594197914</v>
      </c>
    </row>
    <row r="27" spans="1:9" ht="15">
      <c r="A27" s="85"/>
      <c r="B27" s="71"/>
      <c r="C27" s="37" t="s">
        <v>30</v>
      </c>
      <c r="D27" s="40">
        <v>962.9124486811279</v>
      </c>
      <c r="E27" s="40">
        <v>69.86486757688293</v>
      </c>
      <c r="F27" s="95"/>
      <c r="G27" s="91"/>
      <c r="H27" s="73"/>
      <c r="I27" s="100"/>
    </row>
    <row r="28" spans="1:9" ht="15">
      <c r="A28" s="85"/>
      <c r="B28" s="69" t="s">
        <v>4</v>
      </c>
      <c r="C28" s="41" t="s">
        <v>28</v>
      </c>
      <c r="D28" s="39">
        <v>1004.8013454757798</v>
      </c>
      <c r="E28" s="39">
        <v>62.400637049476245</v>
      </c>
      <c r="F28" s="94">
        <f aca="true" t="shared" si="10" ref="F28">D28/D29</f>
        <v>1.2728260131085836</v>
      </c>
      <c r="G28" s="90">
        <f>SQRT((E28/D28)^2+(E29/D29)^2)*F28</f>
        <v>0.13353335920785306</v>
      </c>
      <c r="H28" s="72">
        <f>D23/D29</f>
        <v>1.287914792841458</v>
      </c>
      <c r="I28" s="99">
        <f>SQRT((E23/D23)^2+(E29/D29)^2)*H28</f>
        <v>0.1441223317156207</v>
      </c>
    </row>
    <row r="29" spans="1:9" ht="15">
      <c r="A29" s="85"/>
      <c r="B29" s="71"/>
      <c r="C29" s="37" t="s">
        <v>30</v>
      </c>
      <c r="D29" s="40">
        <v>789.42552644865</v>
      </c>
      <c r="E29" s="40">
        <v>66.75005840596879</v>
      </c>
      <c r="F29" s="95"/>
      <c r="G29" s="91"/>
      <c r="H29" s="73"/>
      <c r="I29" s="100"/>
    </row>
    <row r="30" spans="1:9" ht="15">
      <c r="A30" s="85"/>
      <c r="B30" s="81" t="s">
        <v>5</v>
      </c>
      <c r="C30" s="36" t="s">
        <v>28</v>
      </c>
      <c r="D30" s="42">
        <v>1687.245249176107</v>
      </c>
      <c r="E30" s="42">
        <v>43.98692384518783</v>
      </c>
      <c r="F30" s="94">
        <f>D30/D31</f>
        <v>1.298923613429921</v>
      </c>
      <c r="G30" s="90">
        <f aca="true" t="shared" si="11" ref="G30">SQRT((E30/D30)^2+(E31/D31)^2)*F30</f>
        <v>0.052335903438859056</v>
      </c>
      <c r="H30" s="72">
        <f>D25/D31</f>
        <v>1.185956565452583</v>
      </c>
      <c r="I30" s="99">
        <f>SQRT((E25/D25)^2+(E31/D31)^2)*H30</f>
        <v>0.06042715632537206</v>
      </c>
    </row>
    <row r="31" spans="1:9" ht="15">
      <c r="A31" s="86"/>
      <c r="B31" s="71"/>
      <c r="C31" s="37" t="s">
        <v>30</v>
      </c>
      <c r="D31" s="40">
        <v>1298.956483453857</v>
      </c>
      <c r="E31" s="40">
        <v>39.90495980375811</v>
      </c>
      <c r="F31" s="95"/>
      <c r="G31" s="91"/>
      <c r="H31" s="73"/>
      <c r="I31" s="100"/>
    </row>
    <row r="33" ht="22.5">
      <c r="A33" s="67" t="s">
        <v>42</v>
      </c>
    </row>
    <row r="34" spans="1:9" ht="15">
      <c r="A34" s="76" t="s">
        <v>15</v>
      </c>
      <c r="B34" s="76" t="s">
        <v>16</v>
      </c>
      <c r="C34" s="76" t="s">
        <v>17</v>
      </c>
      <c r="D34" s="87" t="s">
        <v>38</v>
      </c>
      <c r="E34" s="87" t="s">
        <v>39</v>
      </c>
      <c r="F34" s="92" t="s">
        <v>40</v>
      </c>
      <c r="G34" s="87" t="s">
        <v>43</v>
      </c>
      <c r="H34" s="87" t="s">
        <v>41</v>
      </c>
      <c r="I34" s="87" t="s">
        <v>44</v>
      </c>
    </row>
    <row r="35" spans="1:9" ht="13.5" thickBot="1">
      <c r="A35" s="84"/>
      <c r="B35" s="84"/>
      <c r="C35" s="84"/>
      <c r="D35" s="84"/>
      <c r="E35" s="84"/>
      <c r="F35" s="93"/>
      <c r="G35" s="84"/>
      <c r="H35" s="84"/>
      <c r="I35" s="84"/>
    </row>
    <row r="36" spans="1:9" ht="13.5" thickTop="1">
      <c r="A36" s="88" t="s">
        <v>36</v>
      </c>
      <c r="B36" s="82" t="s">
        <v>1</v>
      </c>
      <c r="C36" s="38" t="s">
        <v>28</v>
      </c>
      <c r="D36" s="35">
        <v>8772.394857095018</v>
      </c>
      <c r="E36" s="35">
        <v>1123.2308975508374</v>
      </c>
      <c r="F36" s="89">
        <f>D36/E36</f>
        <v>7.809965765919451</v>
      </c>
      <c r="G36" s="89">
        <f>SQRT((E4/D4)^2+(E20/D20)^2)*F36</f>
        <v>0.4123590856978912</v>
      </c>
      <c r="H36" s="89">
        <f>D37/E37</f>
        <v>4.091609706084629</v>
      </c>
      <c r="I36" s="89">
        <f>SQRT((E5/D5)^2+(E21/D21)^2)*H36</f>
        <v>0.3255971395336797</v>
      </c>
    </row>
    <row r="37" spans="1:9" ht="15">
      <c r="A37" s="85"/>
      <c r="B37" s="71"/>
      <c r="C37" s="37" t="s">
        <v>30</v>
      </c>
      <c r="D37" s="40">
        <v>3989.7285097814274</v>
      </c>
      <c r="E37" s="40">
        <v>975.0999719861612</v>
      </c>
      <c r="F37" s="91"/>
      <c r="G37" s="89"/>
      <c r="H37" s="89"/>
      <c r="I37" s="89"/>
    </row>
    <row r="38" spans="1:9" ht="15">
      <c r="A38" s="85"/>
      <c r="B38" s="69" t="s">
        <v>4</v>
      </c>
      <c r="C38" s="41" t="s">
        <v>28</v>
      </c>
      <c r="D38" s="39">
        <v>11807.527091815342</v>
      </c>
      <c r="E38" s="39">
        <v>1252.0156925672234</v>
      </c>
      <c r="F38" s="89">
        <f aca="true" t="shared" si="12" ref="F38">D38/E38</f>
        <v>9.43081397614461</v>
      </c>
      <c r="G38" s="90">
        <f>SQRT((E6/D6)^2+(E22/D22)^2)*F38</f>
        <v>1.1899397758531636</v>
      </c>
      <c r="H38" s="90">
        <f>D39/E39</f>
        <v>10.258781320676002</v>
      </c>
      <c r="I38" s="90">
        <f>SQRT((E7/D7)^2+(E23/D23)^2)*H38</f>
        <v>0.7658377422604987</v>
      </c>
    </row>
    <row r="39" spans="1:9" ht="15">
      <c r="A39" s="85"/>
      <c r="B39" s="71"/>
      <c r="C39" s="37" t="s">
        <v>30</v>
      </c>
      <c r="D39" s="40">
        <v>10430.2344181882</v>
      </c>
      <c r="E39" s="40">
        <v>1016.7128133598719</v>
      </c>
      <c r="F39" s="91"/>
      <c r="G39" s="91"/>
      <c r="H39" s="91"/>
      <c r="I39" s="91"/>
    </row>
    <row r="40" spans="1:9" ht="15">
      <c r="A40" s="85"/>
      <c r="B40" s="81" t="s">
        <v>5</v>
      </c>
      <c r="C40" s="36" t="s">
        <v>28</v>
      </c>
      <c r="D40" s="42">
        <v>217.0358885194503</v>
      </c>
      <c r="E40" s="42">
        <v>1717.24452034503</v>
      </c>
      <c r="F40" s="89">
        <f>D40/E40</f>
        <v>0.12638612960945322</v>
      </c>
      <c r="G40" s="89">
        <f>SQRT((E8/D8)^2+(E24/D24)^2)*F40</f>
        <v>0.007003390757798568</v>
      </c>
      <c r="H40" s="89">
        <f aca="true" t="shared" si="13" ref="H40">D41/E41</f>
        <v>0.0661723780036953</v>
      </c>
      <c r="I40" s="90">
        <f>SQRT((E9/D9)^2+(E25/D25)^2)*H40</f>
        <v>0.0035897364384268214</v>
      </c>
    </row>
    <row r="41" spans="1:9" ht="15">
      <c r="A41" s="86"/>
      <c r="B41" s="71"/>
      <c r="C41" s="37" t="s">
        <v>30</v>
      </c>
      <c r="D41" s="40">
        <v>101.93894334984684</v>
      </c>
      <c r="E41" s="40">
        <v>1540.5059697893012</v>
      </c>
      <c r="F41" s="91"/>
      <c r="G41" s="89"/>
      <c r="H41" s="89"/>
      <c r="I41" s="91"/>
    </row>
    <row r="42" spans="1:9" ht="15">
      <c r="A42" s="85" t="s">
        <v>37</v>
      </c>
      <c r="B42" s="69" t="s">
        <v>1</v>
      </c>
      <c r="C42" s="41" t="s">
        <v>28</v>
      </c>
      <c r="D42" s="39">
        <v>406.8210728091372</v>
      </c>
      <c r="E42" s="39">
        <v>1077.8665099464588</v>
      </c>
      <c r="F42" s="89">
        <f>D42/E42</f>
        <v>0.3774317775485439</v>
      </c>
      <c r="G42" s="90">
        <f>SQRT((E10/D10)^2+(E26/D26)^2)*F42</f>
        <v>0.01733153640505603</v>
      </c>
      <c r="H42" s="90">
        <f aca="true" t="shared" si="14" ref="H42">D43/E43</f>
        <v>0.259802556058913</v>
      </c>
      <c r="I42" s="90">
        <f>SQRT((E11/D11)^2+(E27/D27)^2)*H42</f>
        <v>0.020267284907893614</v>
      </c>
    </row>
    <row r="43" spans="1:9" ht="15">
      <c r="A43" s="85"/>
      <c r="B43" s="71"/>
      <c r="C43" s="37" t="s">
        <v>30</v>
      </c>
      <c r="D43" s="40">
        <v>250.16711542830393</v>
      </c>
      <c r="E43" s="40">
        <v>962.9124486811279</v>
      </c>
      <c r="F43" s="91"/>
      <c r="G43" s="91"/>
      <c r="H43" s="91"/>
      <c r="I43" s="91"/>
    </row>
    <row r="44" spans="1:9" ht="15">
      <c r="A44" s="85"/>
      <c r="B44" s="69" t="s">
        <v>4</v>
      </c>
      <c r="C44" s="41" t="s">
        <v>28</v>
      </c>
      <c r="D44" s="39">
        <v>428.72334933788125</v>
      </c>
      <c r="E44" s="39">
        <v>1004.8013454757798</v>
      </c>
      <c r="F44" s="89">
        <f>D44/E44</f>
        <v>0.4266747365220515</v>
      </c>
      <c r="G44" s="90">
        <f>SQRT((E12/D12)^2+(E28/D28)^2)*F44</f>
        <v>0.02798071763644425</v>
      </c>
      <c r="H44" s="89">
        <f aca="true" t="shared" si="15" ref="H44">D45/E45</f>
        <v>0.5052073883164633</v>
      </c>
      <c r="I44" s="90">
        <f>SQRT((E13/D13)^2+(E29/D29)^2)*H44</f>
        <v>0.04443481478071804</v>
      </c>
    </row>
    <row r="45" spans="1:9" ht="15">
      <c r="A45" s="85"/>
      <c r="B45" s="71"/>
      <c r="C45" s="37" t="s">
        <v>30</v>
      </c>
      <c r="D45" s="40">
        <v>398.8236084874715</v>
      </c>
      <c r="E45" s="40">
        <v>789.42552644865</v>
      </c>
      <c r="F45" s="91"/>
      <c r="G45" s="91"/>
      <c r="H45" s="89"/>
      <c r="I45" s="91"/>
    </row>
    <row r="46" spans="1:9" ht="15">
      <c r="A46" s="85"/>
      <c r="B46" s="81" t="s">
        <v>5</v>
      </c>
      <c r="C46" s="36" t="s">
        <v>28</v>
      </c>
      <c r="D46" s="42">
        <v>62.78444463328761</v>
      </c>
      <c r="E46" s="42">
        <v>1687.245249176107</v>
      </c>
      <c r="F46" s="89">
        <f>D46/E46</f>
        <v>0.03721121435306792</v>
      </c>
      <c r="G46" s="90">
        <f>SQRT((E14/D14)^2+(E30/D30)^2)*F46</f>
        <v>0.001426152842948702</v>
      </c>
      <c r="H46" s="90">
        <f aca="true" t="shared" si="16" ref="H46">D47/E47</f>
        <v>0.050222994929165946</v>
      </c>
      <c r="I46" s="90">
        <f>SQRT((E15/D15)^2+(E31/D31)^2)*H46</f>
        <v>0.0021394592496156847</v>
      </c>
    </row>
    <row r="47" spans="1:9" ht="15">
      <c r="A47" s="86"/>
      <c r="B47" s="71"/>
      <c r="C47" s="37" t="s">
        <v>30</v>
      </c>
      <c r="D47" s="40">
        <v>65.23748488171029</v>
      </c>
      <c r="E47" s="40">
        <v>1298.956483453857</v>
      </c>
      <c r="F47" s="91"/>
      <c r="G47" s="91"/>
      <c r="H47" s="91"/>
      <c r="I47" s="91"/>
    </row>
  </sheetData>
  <mergeCells count="123">
    <mergeCell ref="I46:I47"/>
    <mergeCell ref="I34:I35"/>
    <mergeCell ref="I36:I37"/>
    <mergeCell ref="I38:I39"/>
    <mergeCell ref="I40:I41"/>
    <mergeCell ref="I42:I43"/>
    <mergeCell ref="I44:I45"/>
    <mergeCell ref="H46:H47"/>
    <mergeCell ref="D34:D35"/>
    <mergeCell ref="G34:G35"/>
    <mergeCell ref="G36:G37"/>
    <mergeCell ref="G38:G39"/>
    <mergeCell ref="G40:G41"/>
    <mergeCell ref="G42:G43"/>
    <mergeCell ref="G44:G45"/>
    <mergeCell ref="G46:G47"/>
    <mergeCell ref="H40:H41"/>
    <mergeCell ref="H34:H35"/>
    <mergeCell ref="A42:A47"/>
    <mergeCell ref="B42:B43"/>
    <mergeCell ref="F42:F43"/>
    <mergeCell ref="H42:H43"/>
    <mergeCell ref="B44:B45"/>
    <mergeCell ref="F44:F45"/>
    <mergeCell ref="H44:H45"/>
    <mergeCell ref="B46:B47"/>
    <mergeCell ref="F46:F47"/>
    <mergeCell ref="A36:A41"/>
    <mergeCell ref="B36:B37"/>
    <mergeCell ref="F36:F37"/>
    <mergeCell ref="H36:H37"/>
    <mergeCell ref="B38:B39"/>
    <mergeCell ref="F38:F39"/>
    <mergeCell ref="H38:H39"/>
    <mergeCell ref="B40:B41"/>
    <mergeCell ref="F40:F41"/>
    <mergeCell ref="F30:F31"/>
    <mergeCell ref="G30:G31"/>
    <mergeCell ref="H30:H31"/>
    <mergeCell ref="I30:I31"/>
    <mergeCell ref="A34:A35"/>
    <mergeCell ref="B34:B35"/>
    <mergeCell ref="C34:C35"/>
    <mergeCell ref="E34:E35"/>
    <mergeCell ref="F34:F35"/>
    <mergeCell ref="F26:F27"/>
    <mergeCell ref="G26:G27"/>
    <mergeCell ref="H26:H27"/>
    <mergeCell ref="I26:I27"/>
    <mergeCell ref="F28:F29"/>
    <mergeCell ref="G28:G29"/>
    <mergeCell ref="H28:H29"/>
    <mergeCell ref="I28:I29"/>
    <mergeCell ref="F22:F23"/>
    <mergeCell ref="G22:G23"/>
    <mergeCell ref="H22:H23"/>
    <mergeCell ref="I22:I23"/>
    <mergeCell ref="F24:F25"/>
    <mergeCell ref="G24:G25"/>
    <mergeCell ref="H24:H25"/>
    <mergeCell ref="I24:I25"/>
    <mergeCell ref="F18:F19"/>
    <mergeCell ref="G18:G19"/>
    <mergeCell ref="H18:H19"/>
    <mergeCell ref="I18:I19"/>
    <mergeCell ref="F20:F21"/>
    <mergeCell ref="G20:G21"/>
    <mergeCell ref="H20:H21"/>
    <mergeCell ref="I20:I21"/>
    <mergeCell ref="H14:H15"/>
    <mergeCell ref="F14:F15"/>
    <mergeCell ref="I2:I3"/>
    <mergeCell ref="I4:I5"/>
    <mergeCell ref="I6:I7"/>
    <mergeCell ref="I8:I9"/>
    <mergeCell ref="I10:I11"/>
    <mergeCell ref="I12:I13"/>
    <mergeCell ref="I14:I15"/>
    <mergeCell ref="H2:H3"/>
    <mergeCell ref="H4:H5"/>
    <mergeCell ref="H6:H7"/>
    <mergeCell ref="H8:H9"/>
    <mergeCell ref="H10:H11"/>
    <mergeCell ref="H12:H13"/>
    <mergeCell ref="G2:G3"/>
    <mergeCell ref="G4:G5"/>
    <mergeCell ref="G6:G7"/>
    <mergeCell ref="G8:G9"/>
    <mergeCell ref="G10:G11"/>
    <mergeCell ref="G12:G13"/>
    <mergeCell ref="G14:G15"/>
    <mergeCell ref="A26:A31"/>
    <mergeCell ref="B26:B27"/>
    <mergeCell ref="B28:B29"/>
    <mergeCell ref="B30:B31"/>
    <mergeCell ref="F2:F3"/>
    <mergeCell ref="F4:F5"/>
    <mergeCell ref="F6:F7"/>
    <mergeCell ref="F8:F9"/>
    <mergeCell ref="F10:F11"/>
    <mergeCell ref="F12:F13"/>
    <mergeCell ref="A18:A19"/>
    <mergeCell ref="B18:B19"/>
    <mergeCell ref="C18:C19"/>
    <mergeCell ref="D18:D19"/>
    <mergeCell ref="E18:E19"/>
    <mergeCell ref="A20:A25"/>
    <mergeCell ref="B20:B21"/>
    <mergeCell ref="B22:B23"/>
    <mergeCell ref="B24:B25"/>
    <mergeCell ref="A10:A15"/>
    <mergeCell ref="B10:B11"/>
    <mergeCell ref="B12:B13"/>
    <mergeCell ref="B14:B15"/>
    <mergeCell ref="D2:D3"/>
    <mergeCell ref="E2:E3"/>
    <mergeCell ref="A2:A3"/>
    <mergeCell ref="B2:B3"/>
    <mergeCell ref="C2:C3"/>
    <mergeCell ref="A4:A9"/>
    <mergeCell ref="B4:B5"/>
    <mergeCell ref="B6:B7"/>
    <mergeCell ref="B8:B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90276501A71140A234B02C1386575F" ma:contentTypeVersion="7" ma:contentTypeDescription="Vytvoří nový dokument" ma:contentTypeScope="" ma:versionID="8fdad20e68a5dc45b47261e5f3ca3f42">
  <xsd:schema xmlns:xsd="http://www.w3.org/2001/XMLSchema" xmlns:xs="http://www.w3.org/2001/XMLSchema" xmlns:p="http://schemas.microsoft.com/office/2006/metadata/properties" xmlns:ns3="7f5f7416-4032-4eda-8622-af2772c5c405" xmlns:ns4="2ad8c0e3-717a-42f8-9f5a-fac03017e692" targetNamespace="http://schemas.microsoft.com/office/2006/metadata/properties" ma:root="true" ma:fieldsID="8f64f3fc834906172455a44ef29b0a69" ns3:_="" ns4:_="">
    <xsd:import namespace="7f5f7416-4032-4eda-8622-af2772c5c405"/>
    <xsd:import namespace="2ad8c0e3-717a-42f8-9f5a-fac03017e6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5f7416-4032-4eda-8622-af2772c5c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8c0e3-717a-42f8-9f5a-fac03017e69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CB9506-736D-44A8-B351-6FA81C13D270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7f5f7416-4032-4eda-8622-af2772c5c405"/>
    <ds:schemaRef ds:uri="2ad8c0e3-717a-42f8-9f5a-fac03017e692"/>
  </ds:schemaRefs>
</ds:datastoreItem>
</file>

<file path=customXml/itemProps2.xml><?xml version="1.0" encoding="utf-8"?>
<ds:datastoreItem xmlns:ds="http://schemas.openxmlformats.org/officeDocument/2006/customXml" ds:itemID="{6849FBB8-BFD2-4EB5-B840-545F1ECDF3D7}">
  <ds:schemaRefs>
    <ds:schemaRef ds:uri="http://schemas.microsoft.com/office/2006/metadata/properties"/>
    <ds:schemaRef ds:uri="http://www.w3.org/2000/xmlns/"/>
  </ds:schemaRefs>
</ds:datastoreItem>
</file>

<file path=customXml/itemProps3.xml><?xml version="1.0" encoding="utf-8"?>
<ds:datastoreItem xmlns:ds="http://schemas.openxmlformats.org/officeDocument/2006/customXml" ds:itemID="{1616D90F-7CBF-4210-9F54-FB3498D740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Ondrej Harkut</dc:creator>
  <cp:keywords/>
  <dc:description/>
  <cp:lastModifiedBy>Ondrej Harkut</cp:lastModifiedBy>
  <dcterms:created xsi:type="dcterms:W3CDTF">2020-06-26T16:27:59Z</dcterms:created>
  <dcterms:modified xsi:type="dcterms:W3CDTF">2021-11-30T23:14:10Z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0x010100FB90276501A71140A234B02C1386575F</vt:lpwstr>
  </property>
</Properties>
</file>